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omments3.xml" ContentType="application/vnd.openxmlformats-officedocument.spreadsheetml.comments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uerin\AppData\Local\Microsoft\Windows\INetCache\Content.Outlook\RHDTN1OJ\"/>
    </mc:Choice>
  </mc:AlternateContent>
  <bookViews>
    <workbookView xWindow="0" yWindow="0" windowWidth="19368" windowHeight="8784"/>
  </bookViews>
  <sheets>
    <sheet name="Données_complètes2019(BASIC)" sheetId="44" r:id="rId1"/>
    <sheet name="Données_complètes2022(Oxfam)" sheetId="1" r:id="rId2"/>
    <sheet name="Données_struture_rému2022" sheetId="2" r:id="rId3"/>
    <sheet name="Air Liquide2022" sheetId="29" r:id="rId4"/>
    <sheet name="Airbus2022" sheetId="32" r:id="rId5"/>
    <sheet name="Alstom2022" sheetId="34" r:id="rId6"/>
    <sheet name="Arcelor Mittal2022" sheetId="11" r:id="rId7"/>
    <sheet name="Axa2022" sheetId="26" r:id="rId8"/>
    <sheet name="BNP Paribas2022" sheetId="33" r:id="rId9"/>
    <sheet name="Bouygues2022" sheetId="12" r:id="rId10"/>
    <sheet name="Capgemini2022" sheetId="16" r:id="rId11"/>
    <sheet name="Carrefour2022" sheetId="5" r:id="rId12"/>
    <sheet name="Crédit Agricole2022" sheetId="40" r:id="rId13"/>
    <sheet name="Danone2022" sheetId="14" r:id="rId14"/>
    <sheet name="Dassault Systèmes2022" sheetId="6" r:id="rId15"/>
    <sheet name="ENGIE2022" sheetId="41" r:id="rId16"/>
    <sheet name="EssilorLuxottica2022" sheetId="8" r:id="rId17"/>
    <sheet name="Eurofins Scientific2022" sheetId="42" r:id="rId18"/>
    <sheet name="Hermes2022" sheetId="31" r:id="rId19"/>
    <sheet name="Kering2022" sheetId="7" r:id="rId20"/>
    <sheet name="Legrand2022" sheetId="27" r:id="rId21"/>
    <sheet name="L'Oréal2022" sheetId="10" r:id="rId22"/>
    <sheet name="LVMH2022" sheetId="13" r:id="rId23"/>
    <sheet name="Michelin2022" sheetId="23" r:id="rId24"/>
    <sheet name="Orange2022" sheetId="37" r:id="rId25"/>
    <sheet name="Pernod Ricard2022" sheetId="21" r:id="rId26"/>
    <sheet name="Publicis2022" sheetId="22" r:id="rId27"/>
    <sheet name="Renault2022" sheetId="20" r:id="rId28"/>
    <sheet name="Safran2022" sheetId="35" r:id="rId29"/>
    <sheet name="Saint Gobain2022" sheetId="19" r:id="rId30"/>
    <sheet name="Sanofi2022" sheetId="9" r:id="rId31"/>
    <sheet name="Schneider Electric2022" sheetId="15" r:id="rId32"/>
    <sheet name="Société Générale2022" sheetId="36" r:id="rId33"/>
    <sheet name="Stellantis2022" sheetId="4" r:id="rId34"/>
    <sheet name="STMicroelectronics2022" sheetId="18" r:id="rId35"/>
    <sheet name="Teleperformance2022" sheetId="3" r:id="rId36"/>
    <sheet name="Thales2022" sheetId="38" r:id="rId37"/>
    <sheet name="TotalEnergies2022" sheetId="25" r:id="rId38"/>
    <sheet name="Unibail-Rodamco-Westfield2022" sheetId="39" r:id="rId39"/>
    <sheet name="Veolia2022" sheetId="28" r:id="rId40"/>
    <sheet name="Vinci2022" sheetId="17" r:id="rId41"/>
    <sheet name="Vivendi2022" sheetId="24" r:id="rId42"/>
    <sheet name="Worldline2022" sheetId="30" r:id="rId43"/>
  </sheets>
  <externalReferences>
    <externalReference r:id="rId44"/>
    <externalReference r:id="rId4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6" l="1"/>
  <c r="D2" i="20"/>
  <c r="D2" i="27"/>
  <c r="D2" i="42"/>
  <c r="D2" i="41"/>
  <c r="I3" i="18"/>
  <c r="I2" i="18"/>
  <c r="E47" i="44" l="1"/>
  <c r="V44" i="2" l="1"/>
  <c r="X44" i="2"/>
  <c r="Y44" i="2"/>
  <c r="Z44" i="2"/>
  <c r="T44" i="2"/>
  <c r="W3" i="2"/>
  <c r="W4" i="2"/>
  <c r="W5" i="2"/>
  <c r="W6" i="2"/>
  <c r="W7" i="2"/>
  <c r="W8" i="2"/>
  <c r="W9" i="2"/>
  <c r="W10" i="2"/>
  <c r="W11" i="2"/>
  <c r="W12" i="2"/>
  <c r="W13" i="2"/>
  <c r="W14" i="2"/>
  <c r="W15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2" i="2"/>
  <c r="U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S2" i="2"/>
  <c r="S23" i="2"/>
  <c r="S24" i="2"/>
  <c r="S25" i="2"/>
  <c r="S26" i="2"/>
  <c r="S27" i="2"/>
  <c r="S28" i="2"/>
  <c r="S29" i="2"/>
  <c r="S30" i="2"/>
  <c r="S31" i="2"/>
  <c r="S32" i="2"/>
  <c r="S14" i="2"/>
  <c r="S15" i="2"/>
  <c r="S35" i="2"/>
  <c r="S36" i="2"/>
  <c r="S37" i="2"/>
  <c r="S38" i="2"/>
  <c r="S39" i="2"/>
  <c r="S40" i="2"/>
  <c r="S20" i="2"/>
  <c r="S19" i="2"/>
  <c r="S13" i="2"/>
  <c r="S12" i="2"/>
  <c r="S11" i="2"/>
  <c r="S10" i="2"/>
  <c r="S9" i="2"/>
  <c r="S8" i="2"/>
  <c r="S7" i="2"/>
  <c r="S6" i="2"/>
  <c r="S5" i="2"/>
  <c r="S4" i="2"/>
  <c r="S3" i="2"/>
  <c r="S34" i="2"/>
  <c r="S22" i="2"/>
  <c r="U44" i="2" l="1"/>
  <c r="W44" i="2"/>
  <c r="S44" i="2"/>
  <c r="E36" i="1" l="1"/>
  <c r="P44" i="2"/>
  <c r="P43" i="1"/>
  <c r="Q43" i="1"/>
  <c r="R43" i="1"/>
  <c r="S43" i="1"/>
  <c r="T43" i="1"/>
  <c r="U43" i="1"/>
  <c r="O43" i="1"/>
  <c r="P42" i="1"/>
  <c r="Q42" i="1"/>
  <c r="R42" i="1"/>
  <c r="S42" i="1"/>
  <c r="T42" i="1"/>
  <c r="U42" i="1"/>
  <c r="AD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2" i="2"/>
  <c r="AC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2" i="2"/>
  <c r="O44" i="2"/>
  <c r="Q44" i="2"/>
  <c r="R44" i="2"/>
  <c r="D2" i="22"/>
  <c r="J13" i="42"/>
  <c r="J35" i="41"/>
  <c r="J32" i="41"/>
  <c r="J31" i="41"/>
  <c r="J30" i="41"/>
  <c r="J29" i="41"/>
  <c r="J33" i="41" s="1"/>
  <c r="J34" i="41" s="1"/>
  <c r="J23" i="41"/>
  <c r="J22" i="41"/>
  <c r="J21" i="41"/>
  <c r="J20" i="41"/>
  <c r="C16" i="41"/>
  <c r="C15" i="41"/>
  <c r="C14" i="41"/>
  <c r="J13" i="41" s="1"/>
  <c r="R2" i="41" s="1"/>
  <c r="C13" i="41"/>
  <c r="C12" i="41"/>
  <c r="C11" i="41"/>
  <c r="C10" i="41"/>
  <c r="C9" i="41"/>
  <c r="C8" i="41"/>
  <c r="C7" i="41"/>
  <c r="J7" i="41" l="1"/>
  <c r="M2" i="41" s="1"/>
  <c r="J8" i="41"/>
  <c r="P2" i="41" s="1"/>
  <c r="AB44" i="2"/>
  <c r="AD44" i="2"/>
  <c r="AA44" i="2"/>
  <c r="AC44" i="2"/>
  <c r="J9" i="41"/>
  <c r="Q2" i="41" s="1"/>
  <c r="J10" i="41"/>
  <c r="O2" i="41" s="1"/>
  <c r="S2" i="41"/>
  <c r="N2" i="41" l="1"/>
  <c r="J11" i="41"/>
  <c r="K2" i="41" s="1"/>
  <c r="L2" i="41" s="1"/>
  <c r="J12" i="41" l="1"/>
  <c r="E7" i="44"/>
  <c r="Q7" i="44" s="1"/>
  <c r="E6" i="44"/>
  <c r="Q6" i="44" s="1"/>
  <c r="E13" i="44"/>
  <c r="Q13" i="44" s="1"/>
  <c r="J23" i="30"/>
  <c r="J26" i="30"/>
  <c r="J22" i="30"/>
  <c r="J20" i="30"/>
  <c r="J24" i="30" s="1"/>
  <c r="J25" i="30" s="1"/>
  <c r="J21" i="30"/>
  <c r="J31" i="30"/>
  <c r="J35" i="30"/>
  <c r="J32" i="30"/>
  <c r="J30" i="30"/>
  <c r="J29" i="30"/>
  <c r="J33" i="30" s="1"/>
  <c r="J34" i="30" s="1"/>
  <c r="J13" i="30"/>
  <c r="R2" i="30" s="1"/>
  <c r="J10" i="30"/>
  <c r="J9" i="30"/>
  <c r="J8" i="30"/>
  <c r="J7" i="30"/>
  <c r="I2" i="30"/>
  <c r="D2" i="30" s="1"/>
  <c r="S2" i="30" l="1"/>
  <c r="M2" i="30"/>
  <c r="Q2" i="30"/>
  <c r="J11" i="30"/>
  <c r="K2" i="30" s="1"/>
  <c r="L2" i="30" s="1"/>
  <c r="O2" i="30"/>
  <c r="P2" i="30"/>
  <c r="N2" i="30"/>
  <c r="J12" i="30" l="1"/>
  <c r="J35" i="24"/>
  <c r="J32" i="24"/>
  <c r="J31" i="24"/>
  <c r="J30" i="24"/>
  <c r="J29" i="24"/>
  <c r="J33" i="24" s="1"/>
  <c r="J34" i="24" s="1"/>
  <c r="J26" i="24"/>
  <c r="J23" i="24"/>
  <c r="J22" i="24"/>
  <c r="J21" i="24"/>
  <c r="J20" i="24"/>
  <c r="J13" i="24"/>
  <c r="J10" i="24"/>
  <c r="J9" i="24"/>
  <c r="J8" i="24"/>
  <c r="J7" i="24"/>
  <c r="I2" i="24"/>
  <c r="D2" i="24" s="1"/>
  <c r="R2" i="24" l="1"/>
  <c r="S2" i="24"/>
  <c r="P2" i="24"/>
  <c r="M2" i="24"/>
  <c r="J11" i="24"/>
  <c r="K2" i="24" s="1"/>
  <c r="L2" i="24" s="1"/>
  <c r="O2" i="24"/>
  <c r="Q2" i="24"/>
  <c r="N2" i="24"/>
  <c r="J12" i="24" l="1"/>
  <c r="J35" i="17" l="1"/>
  <c r="J32" i="17"/>
  <c r="J31" i="17"/>
  <c r="J30" i="17"/>
  <c r="J29" i="17"/>
  <c r="J33" i="17" s="1"/>
  <c r="J34" i="17" s="1"/>
  <c r="J26" i="17"/>
  <c r="J23" i="17"/>
  <c r="J22" i="17"/>
  <c r="J21" i="17"/>
  <c r="J20" i="17"/>
  <c r="J13" i="17"/>
  <c r="J10" i="17"/>
  <c r="J9" i="17"/>
  <c r="J8" i="17"/>
  <c r="J7" i="17"/>
  <c r="J11" i="17" s="1"/>
  <c r="I2" i="17"/>
  <c r="D2" i="17" s="1"/>
  <c r="S2" i="17" s="1"/>
  <c r="R2" i="17" l="1"/>
  <c r="K2" i="17"/>
  <c r="L2" i="17" s="1"/>
  <c r="Q2" i="17"/>
  <c r="N2" i="17"/>
  <c r="O2" i="17"/>
  <c r="J12" i="17"/>
  <c r="M2" i="17"/>
  <c r="P2" i="17"/>
  <c r="E38" i="44" l="1"/>
  <c r="J31" i="28"/>
  <c r="J35" i="28"/>
  <c r="J32" i="28"/>
  <c r="J29" i="28"/>
  <c r="J33" i="28" s="1"/>
  <c r="J30" i="28"/>
  <c r="J26" i="28"/>
  <c r="J23" i="28"/>
  <c r="J22" i="28"/>
  <c r="J21" i="28"/>
  <c r="J20" i="28"/>
  <c r="J13" i="28"/>
  <c r="J10" i="28"/>
  <c r="J9" i="28"/>
  <c r="J8" i="28"/>
  <c r="J7" i="28"/>
  <c r="F2" i="28"/>
  <c r="E2" i="28"/>
  <c r="R2" i="28" l="1"/>
  <c r="D2" i="28"/>
  <c r="S2" i="28" s="1"/>
  <c r="J34" i="28"/>
  <c r="M2" i="28"/>
  <c r="J11" i="28"/>
  <c r="K2" i="28" s="1"/>
  <c r="L2" i="28" s="1"/>
  <c r="Q2" i="28" l="1"/>
  <c r="N2" i="28"/>
  <c r="O2" i="28"/>
  <c r="P2" i="28"/>
  <c r="J12" i="28"/>
  <c r="J35" i="39"/>
  <c r="J32" i="39"/>
  <c r="J31" i="39"/>
  <c r="J30" i="39"/>
  <c r="J29" i="39"/>
  <c r="J33" i="39" s="1"/>
  <c r="J34" i="39" s="1"/>
  <c r="J26" i="39"/>
  <c r="J23" i="39"/>
  <c r="J22" i="39"/>
  <c r="J21" i="39"/>
  <c r="J20" i="39"/>
  <c r="J24" i="39" s="1"/>
  <c r="J25" i="39" s="1"/>
  <c r="J13" i="39"/>
  <c r="R2" i="39" s="1"/>
  <c r="J10" i="39"/>
  <c r="J9" i="39"/>
  <c r="J8" i="39"/>
  <c r="J7" i="39"/>
  <c r="D2" i="39"/>
  <c r="S2" i="39" l="1"/>
  <c r="P2" i="39"/>
  <c r="N2" i="39"/>
  <c r="O2" i="39"/>
  <c r="J11" i="39"/>
  <c r="Q2" i="39"/>
  <c r="M2" i="39"/>
  <c r="K2" i="39" l="1"/>
  <c r="L2" i="39" s="1"/>
  <c r="J12" i="39"/>
  <c r="I36" i="1"/>
  <c r="H36" i="1"/>
  <c r="J35" i="25"/>
  <c r="J32" i="25"/>
  <c r="J31" i="25"/>
  <c r="J30" i="25"/>
  <c r="J29" i="25"/>
  <c r="J33" i="25" s="1"/>
  <c r="J34" i="25" s="1"/>
  <c r="J26" i="25"/>
  <c r="J23" i="25"/>
  <c r="J22" i="25"/>
  <c r="J21" i="25"/>
  <c r="J20" i="25"/>
  <c r="C15" i="25"/>
  <c r="C14" i="25"/>
  <c r="C13" i="25"/>
  <c r="C12" i="25"/>
  <c r="C11" i="25"/>
  <c r="C10" i="25"/>
  <c r="C9" i="25"/>
  <c r="C8" i="25"/>
  <c r="C7" i="25"/>
  <c r="D2" i="25"/>
  <c r="J9" i="25" l="1"/>
  <c r="Q2" i="25" s="1"/>
  <c r="J8" i="25"/>
  <c r="P2" i="25" s="1"/>
  <c r="J13" i="25"/>
  <c r="R2" i="25" s="1"/>
  <c r="J7" i="25"/>
  <c r="N2" i="25" s="1"/>
  <c r="J10" i="25"/>
  <c r="O2" i="25" s="1"/>
  <c r="S2" i="25" l="1"/>
  <c r="M2" i="25"/>
  <c r="J11" i="25"/>
  <c r="K2" i="25" s="1"/>
  <c r="L2" i="25" s="1"/>
  <c r="J12" i="25" l="1"/>
  <c r="J35" i="38"/>
  <c r="J32" i="38"/>
  <c r="J31" i="38"/>
  <c r="J30" i="38"/>
  <c r="J29" i="38"/>
  <c r="J33" i="38" s="1"/>
  <c r="J34" i="38" s="1"/>
  <c r="J26" i="38"/>
  <c r="J23" i="38"/>
  <c r="J22" i="38"/>
  <c r="J21" i="38"/>
  <c r="J20" i="38"/>
  <c r="J13" i="38"/>
  <c r="J10" i="38"/>
  <c r="J9" i="38"/>
  <c r="J8" i="38"/>
  <c r="J7" i="38"/>
  <c r="D2" i="38"/>
  <c r="R2" i="38" l="1"/>
  <c r="S2" i="38"/>
  <c r="N2" i="38"/>
  <c r="P2" i="38"/>
  <c r="Q2" i="38"/>
  <c r="O2" i="38"/>
  <c r="J11" i="38"/>
  <c r="K2" i="38" s="1"/>
  <c r="M2" i="38"/>
  <c r="L2" i="38" l="1"/>
  <c r="J12" i="38"/>
  <c r="J35" i="3" l="1"/>
  <c r="J32" i="3"/>
  <c r="J31" i="3"/>
  <c r="J30" i="3"/>
  <c r="J29" i="3"/>
  <c r="J33" i="3" s="1"/>
  <c r="J34" i="3" s="1"/>
  <c r="J26" i="3"/>
  <c r="J23" i="3"/>
  <c r="J22" i="3"/>
  <c r="J21" i="3"/>
  <c r="J20" i="3"/>
  <c r="J15" i="3"/>
  <c r="J12" i="3"/>
  <c r="J11" i="3"/>
  <c r="J10" i="3"/>
  <c r="J9" i="3"/>
  <c r="J8" i="3"/>
  <c r="J7" i="3"/>
  <c r="J13" i="3" s="1"/>
  <c r="D2" i="3"/>
  <c r="S2" i="3" l="1"/>
  <c r="J14" i="3"/>
  <c r="R2" i="3"/>
  <c r="K2" i="3"/>
  <c r="L2" i="3" s="1"/>
  <c r="M2" i="3"/>
  <c r="N2" i="3"/>
  <c r="Q2" i="3"/>
  <c r="O2" i="3"/>
  <c r="P2" i="3"/>
  <c r="H33" i="1" l="1"/>
  <c r="F2" i="18" l="1"/>
  <c r="G2" i="18"/>
  <c r="H2" i="18"/>
  <c r="J2" i="18"/>
  <c r="E2" i="18"/>
  <c r="D2" i="18" s="1"/>
  <c r="J35" i="18"/>
  <c r="J32" i="18"/>
  <c r="J31" i="18"/>
  <c r="J30" i="18"/>
  <c r="J29" i="18"/>
  <c r="J33" i="18" s="1"/>
  <c r="J34" i="18" s="1"/>
  <c r="J26" i="18"/>
  <c r="J23" i="18"/>
  <c r="J22" i="18"/>
  <c r="J21" i="18"/>
  <c r="J20" i="18"/>
  <c r="J13" i="18"/>
  <c r="R2" i="18" s="1"/>
  <c r="J10" i="18"/>
  <c r="J9" i="18"/>
  <c r="J8" i="18"/>
  <c r="J7" i="18"/>
  <c r="J11" i="18" s="1"/>
  <c r="J12" i="18" s="1"/>
  <c r="S2" i="18" l="1"/>
  <c r="M2" i="18"/>
  <c r="K2" i="18"/>
  <c r="L2" i="18" s="1"/>
  <c r="P2" i="18" l="1"/>
  <c r="N2" i="18"/>
  <c r="O2" i="18"/>
  <c r="Q2" i="18"/>
  <c r="J35" i="4"/>
  <c r="J32" i="4"/>
  <c r="J31" i="4"/>
  <c r="J30" i="4"/>
  <c r="J29" i="4"/>
  <c r="J33" i="4" s="1"/>
  <c r="J26" i="4"/>
  <c r="J23" i="4"/>
  <c r="J22" i="4"/>
  <c r="J21" i="4"/>
  <c r="J20" i="4"/>
  <c r="J13" i="4"/>
  <c r="R2" i="4" s="1"/>
  <c r="J10" i="4"/>
  <c r="J9" i="4"/>
  <c r="J8" i="4"/>
  <c r="J7" i="4"/>
  <c r="J11" i="4" s="1"/>
  <c r="H2" i="4"/>
  <c r="J34" i="4" l="1"/>
  <c r="K2" i="4"/>
  <c r="L2" i="4" s="1"/>
  <c r="M2" i="4"/>
  <c r="D2" i="4"/>
  <c r="S2" i="4" s="1"/>
  <c r="J12" i="4"/>
  <c r="O2" i="4" l="1"/>
  <c r="P2" i="4"/>
  <c r="Q2" i="4"/>
  <c r="N2" i="4"/>
  <c r="J35" i="36" l="1"/>
  <c r="J32" i="36"/>
  <c r="J31" i="36"/>
  <c r="J30" i="36"/>
  <c r="J29" i="36"/>
  <c r="J26" i="36"/>
  <c r="J23" i="36"/>
  <c r="J22" i="36"/>
  <c r="J21" i="36"/>
  <c r="J20" i="36"/>
  <c r="J13" i="36"/>
  <c r="J10" i="36"/>
  <c r="J9" i="36"/>
  <c r="J8" i="36"/>
  <c r="J7" i="36"/>
  <c r="J11" i="36" s="1"/>
  <c r="K2" i="36" s="1"/>
  <c r="R2" i="36" l="1"/>
  <c r="S2" i="36"/>
  <c r="O2" i="36"/>
  <c r="Q2" i="36"/>
  <c r="P2" i="36"/>
  <c r="L2" i="36"/>
  <c r="J12" i="36"/>
  <c r="M2" i="36"/>
  <c r="N2" i="36"/>
  <c r="J35" i="15" l="1"/>
  <c r="J32" i="15"/>
  <c r="J31" i="15"/>
  <c r="J30" i="15"/>
  <c r="J29" i="15"/>
  <c r="J33" i="15" s="1"/>
  <c r="J34" i="15" s="1"/>
  <c r="J26" i="15"/>
  <c r="J23" i="15"/>
  <c r="J22" i="15"/>
  <c r="J21" i="15"/>
  <c r="J20" i="15"/>
  <c r="J13" i="15"/>
  <c r="J10" i="15"/>
  <c r="J9" i="15"/>
  <c r="J8" i="15"/>
  <c r="J7" i="15"/>
  <c r="J11" i="15" s="1"/>
  <c r="K2" i="15" s="1"/>
  <c r="J2" i="15"/>
  <c r="D2" i="15" s="1"/>
  <c r="P2" i="15" l="1"/>
  <c r="J12" i="15"/>
  <c r="L2" i="15"/>
  <c r="S2" i="15"/>
  <c r="O2" i="15"/>
  <c r="Q2" i="15"/>
  <c r="R2" i="15"/>
  <c r="M2" i="15"/>
  <c r="N2" i="15"/>
  <c r="J32" i="9" l="1"/>
  <c r="J35" i="9"/>
  <c r="J31" i="9"/>
  <c r="J30" i="9"/>
  <c r="J29" i="9"/>
  <c r="J33" i="9" s="1"/>
  <c r="J34" i="9" s="1"/>
  <c r="J26" i="9"/>
  <c r="J23" i="9"/>
  <c r="J22" i="9"/>
  <c r="J21" i="9"/>
  <c r="J20" i="9"/>
  <c r="J13" i="9"/>
  <c r="J10" i="9"/>
  <c r="J9" i="9"/>
  <c r="J8" i="9"/>
  <c r="J7" i="9"/>
  <c r="D2" i="9"/>
  <c r="R2" i="9" l="1"/>
  <c r="M2" i="9"/>
  <c r="Q2" i="9"/>
  <c r="O2" i="9"/>
  <c r="S2" i="9"/>
  <c r="P2" i="9"/>
  <c r="N2" i="9"/>
  <c r="J11" i="9"/>
  <c r="K2" i="9" s="1"/>
  <c r="L2" i="9" l="1"/>
  <c r="J12" i="9"/>
  <c r="J35" i="19"/>
  <c r="J32" i="19" l="1"/>
  <c r="J31" i="19"/>
  <c r="J30" i="19"/>
  <c r="J29" i="19"/>
  <c r="J33" i="19" s="1"/>
  <c r="J34" i="19" s="1"/>
  <c r="J23" i="19"/>
  <c r="J22" i="19"/>
  <c r="J21" i="19"/>
  <c r="J20" i="19"/>
  <c r="C13" i="19"/>
  <c r="J13" i="19" s="1"/>
  <c r="C12" i="19"/>
  <c r="C11" i="19"/>
  <c r="C10" i="19"/>
  <c r="J9" i="19"/>
  <c r="C9" i="19"/>
  <c r="C8" i="19"/>
  <c r="J10" i="19" s="1"/>
  <c r="C7" i="19"/>
  <c r="J7" i="19" s="1"/>
  <c r="M2" i="19" s="1"/>
  <c r="D2" i="19"/>
  <c r="J8" i="19" l="1"/>
  <c r="P2" i="19" s="1"/>
  <c r="Q2" i="19"/>
  <c r="O2" i="19"/>
  <c r="S2" i="19"/>
  <c r="R2" i="19"/>
  <c r="J11" i="19"/>
  <c r="K2" i="19" s="1"/>
  <c r="N2" i="19"/>
  <c r="L2" i="19" l="1"/>
  <c r="J12" i="19"/>
  <c r="J29" i="35" l="1"/>
  <c r="J30" i="35"/>
  <c r="J31" i="35"/>
  <c r="J32" i="35"/>
  <c r="J35" i="35" l="1"/>
  <c r="J33" i="35"/>
  <c r="J34" i="35" s="1"/>
  <c r="J23" i="35"/>
  <c r="J22" i="35"/>
  <c r="J21" i="35"/>
  <c r="J20" i="35"/>
  <c r="C14" i="35"/>
  <c r="J13" i="35" s="1"/>
  <c r="R2" i="35" s="1"/>
  <c r="C13" i="35"/>
  <c r="C12" i="35"/>
  <c r="C11" i="35"/>
  <c r="J10" i="35"/>
  <c r="C10" i="35"/>
  <c r="C9" i="35"/>
  <c r="C8" i="35"/>
  <c r="C7" i="35"/>
  <c r="D2" i="35"/>
  <c r="J9" i="35" l="1"/>
  <c r="Q2" i="35" s="1"/>
  <c r="J8" i="35"/>
  <c r="P2" i="35" s="1"/>
  <c r="J7" i="35"/>
  <c r="N2" i="35" s="1"/>
  <c r="S2" i="35"/>
  <c r="O2" i="35"/>
  <c r="M2" i="35" l="1"/>
  <c r="J11" i="35"/>
  <c r="K2" i="35" s="1"/>
  <c r="L2" i="35" s="1"/>
  <c r="J12" i="35" l="1"/>
  <c r="J31" i="20"/>
  <c r="J32" i="20"/>
  <c r="J26" i="20"/>
  <c r="J21" i="20"/>
  <c r="C12" i="20" l="1"/>
  <c r="C13" i="20"/>
  <c r="C11" i="20"/>
  <c r="C10" i="20"/>
  <c r="C9" i="20"/>
  <c r="C8" i="20"/>
  <c r="C7" i="20"/>
  <c r="J35" i="20"/>
  <c r="J30" i="20"/>
  <c r="J29" i="20"/>
  <c r="J33" i="20" s="1"/>
  <c r="J34" i="20" s="1"/>
  <c r="J23" i="20"/>
  <c r="J22" i="20"/>
  <c r="J20" i="20"/>
  <c r="J13" i="20"/>
  <c r="J10" i="20"/>
  <c r="J9" i="20"/>
  <c r="J7" i="20" l="1"/>
  <c r="J11" i="20" s="1"/>
  <c r="J8" i="20"/>
  <c r="P2" i="20" s="1"/>
  <c r="J24" i="20"/>
  <c r="J25" i="20" s="1"/>
  <c r="S2" i="20"/>
  <c r="O2" i="20"/>
  <c r="Q2" i="20"/>
  <c r="R2" i="20"/>
  <c r="K2" i="20" l="1"/>
  <c r="N2" i="20"/>
  <c r="M2" i="20"/>
  <c r="L2" i="20"/>
  <c r="J12" i="20"/>
  <c r="J35" i="22"/>
  <c r="J32" i="22"/>
  <c r="J23" i="22"/>
  <c r="J31" i="22"/>
  <c r="J30" i="22"/>
  <c r="J29" i="22"/>
  <c r="J33" i="22" s="1"/>
  <c r="J34" i="22" s="1"/>
  <c r="J22" i="22"/>
  <c r="J21" i="22"/>
  <c r="J20" i="22"/>
  <c r="J13" i="22"/>
  <c r="R2" i="22" s="1"/>
  <c r="J10" i="22"/>
  <c r="J9" i="22"/>
  <c r="J8" i="22"/>
  <c r="J7" i="22"/>
  <c r="O2" i="22" l="1"/>
  <c r="M2" i="22"/>
  <c r="P2" i="22"/>
  <c r="N2" i="22"/>
  <c r="Q2" i="22"/>
  <c r="S2" i="22"/>
  <c r="J11" i="22"/>
  <c r="K2" i="22" s="1"/>
  <c r="L2" i="22" l="1"/>
  <c r="J12" i="22"/>
  <c r="J35" i="21"/>
  <c r="J32" i="21"/>
  <c r="J31" i="21"/>
  <c r="J30" i="21"/>
  <c r="J29" i="21"/>
  <c r="J33" i="21" s="1"/>
  <c r="J34" i="21" s="1"/>
  <c r="J23" i="21"/>
  <c r="J22" i="21"/>
  <c r="J21" i="21"/>
  <c r="J20" i="21"/>
  <c r="J13" i="21"/>
  <c r="J10" i="21"/>
  <c r="J9" i="21"/>
  <c r="J8" i="21"/>
  <c r="J7" i="21"/>
  <c r="J11" i="21" s="1"/>
  <c r="J2" i="21"/>
  <c r="D2" i="21" s="1"/>
  <c r="K2" i="21" l="1"/>
  <c r="L2" i="21" s="1"/>
  <c r="O2" i="21"/>
  <c r="R2" i="21"/>
  <c r="M2" i="21"/>
  <c r="Q2" i="21"/>
  <c r="S2" i="21"/>
  <c r="J12" i="21"/>
  <c r="P2" i="21"/>
  <c r="N2" i="21"/>
  <c r="J35" i="37" l="1"/>
  <c r="J32" i="37"/>
  <c r="J31" i="37"/>
  <c r="J30" i="37"/>
  <c r="J29" i="37"/>
  <c r="J33" i="37" s="1"/>
  <c r="J34" i="37" s="1"/>
  <c r="J23" i="37"/>
  <c r="J22" i="37"/>
  <c r="J21" i="37"/>
  <c r="J20" i="37"/>
  <c r="J13" i="37"/>
  <c r="J10" i="37"/>
  <c r="J9" i="37"/>
  <c r="J8" i="37"/>
  <c r="J7" i="37"/>
  <c r="I2" i="37"/>
  <c r="D2" i="37" s="1"/>
  <c r="M2" i="37" l="1"/>
  <c r="J11" i="37"/>
  <c r="N2" i="37"/>
  <c r="S2" i="37"/>
  <c r="Q2" i="37"/>
  <c r="O2" i="37"/>
  <c r="R2" i="37"/>
  <c r="P2" i="37"/>
  <c r="K2" i="37" l="1"/>
  <c r="L2" i="37" s="1"/>
  <c r="J12" i="37"/>
  <c r="J35" i="23"/>
  <c r="J32" i="23"/>
  <c r="J31" i="23"/>
  <c r="J30" i="23"/>
  <c r="J29" i="23"/>
  <c r="J33" i="23" s="1"/>
  <c r="J34" i="23" s="1"/>
  <c r="J23" i="23"/>
  <c r="J22" i="23"/>
  <c r="J21" i="23"/>
  <c r="J20" i="23"/>
  <c r="J13" i="23"/>
  <c r="J10" i="23"/>
  <c r="J9" i="23"/>
  <c r="J8" i="23"/>
  <c r="J7" i="23"/>
  <c r="J11" i="23" s="1"/>
  <c r="D2" i="23"/>
  <c r="K2" i="23" l="1"/>
  <c r="L2" i="23" s="1"/>
  <c r="Q2" i="23"/>
  <c r="O2" i="23"/>
  <c r="P2" i="23"/>
  <c r="S2" i="23"/>
  <c r="J12" i="23"/>
  <c r="N2" i="23"/>
  <c r="R2" i="23"/>
  <c r="M2" i="23"/>
  <c r="J35" i="13" l="1"/>
  <c r="J32" i="13"/>
  <c r="J31" i="13"/>
  <c r="J30" i="13"/>
  <c r="J29" i="13"/>
  <c r="J33" i="13" s="1"/>
  <c r="J34" i="13" s="1"/>
  <c r="J23" i="13"/>
  <c r="J22" i="13"/>
  <c r="J21" i="13"/>
  <c r="J20" i="13"/>
  <c r="J13" i="13"/>
  <c r="R2" i="13" s="1"/>
  <c r="J10" i="13"/>
  <c r="J9" i="13"/>
  <c r="J8" i="13"/>
  <c r="J7" i="13"/>
  <c r="M2" i="13" s="1"/>
  <c r="I2" i="13"/>
  <c r="D2" i="13" s="1"/>
  <c r="N2" i="13" s="1"/>
  <c r="O2" i="13" l="1"/>
  <c r="Q2" i="13"/>
  <c r="P2" i="13"/>
  <c r="S2" i="13"/>
  <c r="J11" i="13"/>
  <c r="K2" i="13" s="1"/>
  <c r="L2" i="13" l="1"/>
  <c r="J12" i="13"/>
  <c r="J35" i="10"/>
  <c r="J32" i="10"/>
  <c r="J31" i="10"/>
  <c r="J30" i="10"/>
  <c r="J29" i="10"/>
  <c r="J33" i="10" s="1"/>
  <c r="J34" i="10" s="1"/>
  <c r="J23" i="10"/>
  <c r="J22" i="10"/>
  <c r="J21" i="10"/>
  <c r="J20" i="10"/>
  <c r="J13" i="10"/>
  <c r="R2" i="10" s="1"/>
  <c r="J10" i="10"/>
  <c r="J9" i="10"/>
  <c r="J8" i="10"/>
  <c r="J7" i="10"/>
  <c r="J11" i="10" s="1"/>
  <c r="D2" i="10"/>
  <c r="J12" i="10" l="1"/>
  <c r="K2" i="10"/>
  <c r="N2" i="10"/>
  <c r="M2" i="10"/>
  <c r="Q2" i="10"/>
  <c r="O2" i="10"/>
  <c r="P2" i="10"/>
  <c r="L2" i="10"/>
  <c r="S2" i="10"/>
  <c r="J35" i="27" l="1"/>
  <c r="J32" i="27"/>
  <c r="J31" i="27"/>
  <c r="J30" i="27"/>
  <c r="J29" i="27"/>
  <c r="J33" i="27" s="1"/>
  <c r="J34" i="27" s="1"/>
  <c r="J23" i="27"/>
  <c r="J22" i="27"/>
  <c r="J21" i="27"/>
  <c r="J20" i="27"/>
  <c r="J13" i="27"/>
  <c r="J10" i="27"/>
  <c r="J9" i="27"/>
  <c r="J8" i="27"/>
  <c r="J7" i="27"/>
  <c r="M2" i="27" s="1"/>
  <c r="Q2" i="27" l="1"/>
  <c r="O2" i="27"/>
  <c r="S2" i="27"/>
  <c r="P2" i="27"/>
  <c r="J11" i="27"/>
  <c r="K2" i="27" s="1"/>
  <c r="N2" i="27"/>
  <c r="R2" i="27"/>
  <c r="L2" i="27" l="1"/>
  <c r="J12" i="27"/>
  <c r="J35" i="7"/>
  <c r="J32" i="7"/>
  <c r="J31" i="7"/>
  <c r="J30" i="7"/>
  <c r="J29" i="7"/>
  <c r="J33" i="7" s="1"/>
  <c r="J34" i="7" s="1"/>
  <c r="J23" i="7"/>
  <c r="J22" i="7"/>
  <c r="J21" i="7"/>
  <c r="J20" i="7"/>
  <c r="J13" i="7"/>
  <c r="R2" i="7" s="1"/>
  <c r="J10" i="7"/>
  <c r="J9" i="7"/>
  <c r="J8" i="7"/>
  <c r="J7" i="7"/>
  <c r="J11" i="7" s="1"/>
  <c r="I2" i="7"/>
  <c r="D2" i="7" s="1"/>
  <c r="N2" i="7" l="1"/>
  <c r="M2" i="7"/>
  <c r="K2" i="7"/>
  <c r="L2" i="7" s="1"/>
  <c r="Q2" i="7"/>
  <c r="O2" i="7"/>
  <c r="P2" i="7"/>
  <c r="J12" i="7"/>
  <c r="S2" i="7"/>
  <c r="J35" i="31" l="1"/>
  <c r="J32" i="31"/>
  <c r="J31" i="31"/>
  <c r="J30" i="31"/>
  <c r="J29" i="31"/>
  <c r="J23" i="31"/>
  <c r="J22" i="31"/>
  <c r="J21" i="31"/>
  <c r="J20" i="31"/>
  <c r="J13" i="31"/>
  <c r="R2" i="31" s="1"/>
  <c r="J10" i="31"/>
  <c r="J9" i="31"/>
  <c r="J8" i="31"/>
  <c r="J7" i="31"/>
  <c r="J11" i="31" s="1"/>
  <c r="K2" i="31" s="1"/>
  <c r="D2" i="31"/>
  <c r="O2" i="31" l="1"/>
  <c r="P2" i="31"/>
  <c r="S2" i="31"/>
  <c r="Q2" i="31"/>
  <c r="J12" i="31"/>
  <c r="L2" i="31"/>
  <c r="M2" i="31"/>
  <c r="N2" i="31"/>
  <c r="J35" i="42" l="1"/>
  <c r="J32" i="42"/>
  <c r="J31" i="42"/>
  <c r="J30" i="42"/>
  <c r="J29" i="42"/>
  <c r="J23" i="42"/>
  <c r="J22" i="42"/>
  <c r="J21" i="42"/>
  <c r="J20" i="42"/>
  <c r="J10" i="42"/>
  <c r="J9" i="42"/>
  <c r="J8" i="42"/>
  <c r="J7" i="42"/>
  <c r="Q2" i="42" l="1"/>
  <c r="O2" i="42"/>
  <c r="P2" i="42"/>
  <c r="S2" i="42"/>
  <c r="R2" i="42"/>
  <c r="M2" i="42"/>
  <c r="N2" i="42"/>
  <c r="J35" i="8" l="1"/>
  <c r="J32" i="8"/>
  <c r="J31" i="8"/>
  <c r="J30" i="8"/>
  <c r="J29" i="8"/>
  <c r="J33" i="8" s="1"/>
  <c r="J34" i="8" s="1"/>
  <c r="J23" i="8"/>
  <c r="J22" i="8"/>
  <c r="J21" i="8"/>
  <c r="J20" i="8"/>
  <c r="J13" i="8"/>
  <c r="R2" i="8" s="1"/>
  <c r="J10" i="8"/>
  <c r="J9" i="8"/>
  <c r="J8" i="8"/>
  <c r="J7" i="8"/>
  <c r="J11" i="8" s="1"/>
  <c r="K2" i="8" s="1"/>
  <c r="D2" i="8"/>
  <c r="P2" i="8" l="1"/>
  <c r="N2" i="8"/>
  <c r="Q2" i="8"/>
  <c r="O2" i="8"/>
  <c r="L2" i="8"/>
  <c r="J12" i="8"/>
  <c r="S2" i="8"/>
  <c r="M2" i="8"/>
  <c r="J35" i="6" l="1"/>
  <c r="J32" i="6"/>
  <c r="J31" i="6"/>
  <c r="J30" i="6"/>
  <c r="J29" i="6"/>
  <c r="J33" i="6" s="1"/>
  <c r="J34" i="6" s="1"/>
  <c r="J23" i="6"/>
  <c r="J22" i="6"/>
  <c r="J21" i="6"/>
  <c r="J20" i="6"/>
  <c r="J13" i="6"/>
  <c r="J10" i="6"/>
  <c r="J9" i="6"/>
  <c r="J8" i="6"/>
  <c r="J7" i="6"/>
  <c r="I2" i="6"/>
  <c r="D2" i="6" s="1"/>
  <c r="N2" i="6" l="1"/>
  <c r="P2" i="6"/>
  <c r="S2" i="6"/>
  <c r="Q2" i="6"/>
  <c r="O2" i="6"/>
  <c r="J11" i="6"/>
  <c r="K2" i="6" s="1"/>
  <c r="R2" i="6"/>
  <c r="M2" i="6"/>
  <c r="J12" i="6" l="1"/>
  <c r="L2" i="6"/>
  <c r="J35" i="14"/>
  <c r="J32" i="14"/>
  <c r="J31" i="14"/>
  <c r="J30" i="14"/>
  <c r="J29" i="14"/>
  <c r="J33" i="14" s="1"/>
  <c r="J34" i="14" s="1"/>
  <c r="J23" i="14"/>
  <c r="J22" i="14"/>
  <c r="J21" i="14"/>
  <c r="J20" i="14"/>
  <c r="J13" i="14"/>
  <c r="J10" i="14"/>
  <c r="J9" i="14"/>
  <c r="J8" i="14"/>
  <c r="J7" i="14"/>
  <c r="D2" i="14"/>
  <c r="M2" i="14" l="1"/>
  <c r="N2" i="14"/>
  <c r="R2" i="14"/>
  <c r="O2" i="14"/>
  <c r="Q2" i="14"/>
  <c r="P2" i="14"/>
  <c r="S2" i="14"/>
  <c r="J11" i="14"/>
  <c r="K2" i="14" s="1"/>
  <c r="J12" i="14" l="1"/>
  <c r="L2" i="14"/>
  <c r="J35" i="40" l="1"/>
  <c r="J32" i="40"/>
  <c r="J31" i="40"/>
  <c r="J30" i="40"/>
  <c r="J29" i="40"/>
  <c r="J33" i="40" s="1"/>
  <c r="J34" i="40" s="1"/>
  <c r="J23" i="40"/>
  <c r="J22" i="40"/>
  <c r="J21" i="40"/>
  <c r="J20" i="40"/>
  <c r="J13" i="40"/>
  <c r="J10" i="40"/>
  <c r="J9" i="40"/>
  <c r="J8" i="40"/>
  <c r="J7" i="40"/>
  <c r="D2" i="40"/>
  <c r="N2" i="40" l="1"/>
  <c r="J11" i="40"/>
  <c r="R2" i="40"/>
  <c r="O2" i="40"/>
  <c r="P2" i="40"/>
  <c r="S2" i="40"/>
  <c r="Q2" i="40"/>
  <c r="M2" i="40"/>
  <c r="J12" i="40" l="1"/>
  <c r="K2" i="40"/>
  <c r="L2" i="40" s="1"/>
  <c r="J35" i="5"/>
  <c r="J32" i="5"/>
  <c r="J31" i="5"/>
  <c r="J30" i="5"/>
  <c r="J29" i="5"/>
  <c r="J33" i="5" s="1"/>
  <c r="J34" i="5" s="1"/>
  <c r="J23" i="5"/>
  <c r="J22" i="5"/>
  <c r="J21" i="5"/>
  <c r="J20" i="5"/>
  <c r="J13" i="5"/>
  <c r="J10" i="5"/>
  <c r="J9" i="5"/>
  <c r="J8" i="5"/>
  <c r="J7" i="5"/>
  <c r="I2" i="5"/>
  <c r="D2" i="5" s="1"/>
  <c r="N2" i="5" l="1"/>
  <c r="O2" i="5"/>
  <c r="Q2" i="5"/>
  <c r="S2" i="5"/>
  <c r="P2" i="5"/>
  <c r="J11" i="5"/>
  <c r="K2" i="5" s="1"/>
  <c r="R2" i="5"/>
  <c r="M2" i="5"/>
  <c r="L2" i="5" l="1"/>
  <c r="J12" i="5"/>
  <c r="J32" i="16" l="1"/>
  <c r="C31" i="16"/>
  <c r="J31" i="16" s="1"/>
  <c r="C30" i="16"/>
  <c r="J29" i="16" s="1"/>
  <c r="J33" i="16" s="1"/>
  <c r="J34" i="16" s="1"/>
  <c r="K26" i="16"/>
  <c r="J23" i="16"/>
  <c r="J22" i="16"/>
  <c r="J21" i="16"/>
  <c r="J20" i="16"/>
  <c r="K24" i="16" s="1"/>
  <c r="C15" i="16"/>
  <c r="C14" i="16"/>
  <c r="C13" i="16"/>
  <c r="C12" i="16"/>
  <c r="J13" i="16" s="1"/>
  <c r="C11" i="16"/>
  <c r="J9" i="16" s="1"/>
  <c r="C10" i="16"/>
  <c r="C9" i="16"/>
  <c r="J10" i="16" s="1"/>
  <c r="C8" i="16"/>
  <c r="C7" i="16"/>
  <c r="D2" i="16"/>
  <c r="J30" i="16" l="1"/>
  <c r="J35" i="16"/>
  <c r="R2" i="16" s="1"/>
  <c r="J7" i="16"/>
  <c r="N2" i="16" s="1"/>
  <c r="Q2" i="16"/>
  <c r="O2" i="16"/>
  <c r="J8" i="16"/>
  <c r="P2" i="16" s="1"/>
  <c r="J24" i="16"/>
  <c r="J25" i="16" s="1"/>
  <c r="S2" i="16" l="1"/>
  <c r="M2" i="16"/>
  <c r="J11" i="16"/>
  <c r="K2" i="16" s="1"/>
  <c r="L2" i="16" s="1"/>
  <c r="J12" i="16" l="1"/>
  <c r="J26" i="12"/>
  <c r="J13" i="12" l="1"/>
  <c r="R2" i="12" s="1"/>
  <c r="J10" i="12"/>
  <c r="J9" i="12"/>
  <c r="J8" i="12"/>
  <c r="J7" i="12"/>
  <c r="J23" i="12"/>
  <c r="C23" i="12"/>
  <c r="J22" i="12"/>
  <c r="C22" i="12"/>
  <c r="C21" i="12"/>
  <c r="C20" i="12"/>
  <c r="J21" i="12" s="1"/>
  <c r="J32" i="12"/>
  <c r="J20" i="12" l="1"/>
  <c r="J24" i="12" s="1"/>
  <c r="J25" i="12" s="1"/>
  <c r="J11" i="12"/>
  <c r="K2" i="12" l="1"/>
  <c r="M2" i="12"/>
  <c r="J12" i="12"/>
  <c r="R2" i="33" l="1"/>
  <c r="I2" i="33"/>
  <c r="D2" i="33"/>
  <c r="S2" i="33" l="1"/>
  <c r="J32" i="26" l="1"/>
  <c r="J35" i="26"/>
  <c r="J31" i="26"/>
  <c r="J30" i="26"/>
  <c r="J29" i="26"/>
  <c r="J33" i="26" s="1"/>
  <c r="J34" i="26" s="1"/>
  <c r="J23" i="26"/>
  <c r="J22" i="26"/>
  <c r="J21" i="26"/>
  <c r="J20" i="26"/>
  <c r="C15" i="26"/>
  <c r="C14" i="26"/>
  <c r="C13" i="26"/>
  <c r="C12" i="26"/>
  <c r="C11" i="26"/>
  <c r="J10" i="26"/>
  <c r="C10" i="26"/>
  <c r="J9" i="26"/>
  <c r="C9" i="26"/>
  <c r="J13" i="26" s="1"/>
  <c r="C8" i="26"/>
  <c r="C7" i="26"/>
  <c r="D2" i="26"/>
  <c r="J8" i="26" l="1"/>
  <c r="P2" i="26" s="1"/>
  <c r="J7" i="26"/>
  <c r="J11" i="26" s="1"/>
  <c r="K2" i="26" s="1"/>
  <c r="Q2" i="26"/>
  <c r="O2" i="26"/>
  <c r="S2" i="26"/>
  <c r="R2" i="26"/>
  <c r="M2" i="26" l="1"/>
  <c r="N2" i="26"/>
  <c r="L2" i="26"/>
  <c r="J12" i="26"/>
  <c r="J35" i="11"/>
  <c r="J32" i="11"/>
  <c r="J31" i="11"/>
  <c r="J30" i="11"/>
  <c r="J29" i="11"/>
  <c r="J33" i="11" s="1"/>
  <c r="J34" i="11" s="1"/>
  <c r="J23" i="11"/>
  <c r="J22" i="11"/>
  <c r="J21" i="11"/>
  <c r="J20" i="11"/>
  <c r="J13" i="11"/>
  <c r="J10" i="11"/>
  <c r="J9" i="11"/>
  <c r="J8" i="11"/>
  <c r="J7" i="11"/>
  <c r="J11" i="11" s="1"/>
  <c r="I3" i="11"/>
  <c r="J2" i="11"/>
  <c r="H2" i="11"/>
  <c r="G2" i="11"/>
  <c r="F2" i="11"/>
  <c r="E2" i="11"/>
  <c r="I2" i="11" l="1"/>
  <c r="D3" i="11"/>
  <c r="R2" i="11"/>
  <c r="D2" i="11"/>
  <c r="S2" i="11" s="1"/>
  <c r="K2" i="11"/>
  <c r="L2" i="11" s="1"/>
  <c r="M2" i="11"/>
  <c r="J12" i="11"/>
  <c r="N2" i="11" l="1"/>
  <c r="P2" i="11"/>
  <c r="Q2" i="11"/>
  <c r="O2" i="11"/>
  <c r="J35" i="34"/>
  <c r="J32" i="34"/>
  <c r="J31" i="34"/>
  <c r="J30" i="34"/>
  <c r="J29" i="34"/>
  <c r="J33" i="34" s="1"/>
  <c r="J34" i="34" s="1"/>
  <c r="J23" i="34"/>
  <c r="J22" i="34"/>
  <c r="J21" i="34"/>
  <c r="J20" i="34"/>
  <c r="J13" i="34"/>
  <c r="R2" i="34" s="1"/>
  <c r="J10" i="34"/>
  <c r="J9" i="34"/>
  <c r="J8" i="34"/>
  <c r="J7" i="34"/>
  <c r="D2" i="34"/>
  <c r="N2" i="34" l="1"/>
  <c r="J11" i="34"/>
  <c r="O2" i="34"/>
  <c r="P2" i="34"/>
  <c r="S2" i="34"/>
  <c r="M2" i="34"/>
  <c r="Q2" i="34"/>
  <c r="J12" i="34" l="1"/>
  <c r="K2" i="34"/>
  <c r="L2" i="34" s="1"/>
  <c r="E3" i="44"/>
  <c r="E42" i="44" s="1"/>
  <c r="J35" i="32"/>
  <c r="J32" i="32"/>
  <c r="J31" i="32"/>
  <c r="J30" i="32"/>
  <c r="J29" i="32"/>
  <c r="J33" i="32" s="1"/>
  <c r="J34" i="32" s="1"/>
  <c r="J23" i="32"/>
  <c r="J22" i="32"/>
  <c r="J21" i="32"/>
  <c r="J20" i="32"/>
  <c r="C17" i="32"/>
  <c r="C16" i="32"/>
  <c r="C15" i="32"/>
  <c r="C14" i="32"/>
  <c r="C13" i="32"/>
  <c r="C12" i="32"/>
  <c r="C11" i="32"/>
  <c r="J10" i="32"/>
  <c r="C10" i="32"/>
  <c r="C9" i="32"/>
  <c r="J13" i="32" s="1"/>
  <c r="C8" i="32"/>
  <c r="C7" i="32"/>
  <c r="D2" i="32"/>
  <c r="J8" i="32" l="1"/>
  <c r="P2" i="32" s="1"/>
  <c r="J7" i="32"/>
  <c r="J11" i="32" s="1"/>
  <c r="K2" i="32" s="1"/>
  <c r="S2" i="32"/>
  <c r="O2" i="32"/>
  <c r="J9" i="32"/>
  <c r="Q2" i="32" s="1"/>
  <c r="R2" i="32"/>
  <c r="N2" i="32" l="1"/>
  <c r="M2" i="32"/>
  <c r="J12" i="32"/>
  <c r="L2" i="32"/>
  <c r="J35" i="29" l="1"/>
  <c r="J31" i="29"/>
  <c r="C31" i="29"/>
  <c r="J30" i="29"/>
  <c r="C30" i="29"/>
  <c r="J32" i="29" s="1"/>
  <c r="J23" i="29"/>
  <c r="J22" i="29"/>
  <c r="J21" i="29"/>
  <c r="J20" i="29"/>
  <c r="J13" i="29"/>
  <c r="J10" i="29"/>
  <c r="J9" i="29"/>
  <c r="J8" i="29"/>
  <c r="J7" i="29"/>
  <c r="I2" i="29"/>
  <c r="F2" i="29"/>
  <c r="E2" i="29"/>
  <c r="D2" i="29"/>
  <c r="F4" i="29" l="1"/>
  <c r="O2" i="29"/>
  <c r="P2" i="29"/>
  <c r="J11" i="29"/>
  <c r="J29" i="29"/>
  <c r="J33" i="29" s="1"/>
  <c r="J34" i="29" s="1"/>
  <c r="Q2" i="29"/>
  <c r="S2" i="29"/>
  <c r="R2" i="29"/>
  <c r="K2" i="29" l="1"/>
  <c r="L2" i="29" s="1"/>
  <c r="N2" i="29"/>
  <c r="M2" i="29"/>
  <c r="J12" i="29"/>
  <c r="P10" i="29"/>
  <c r="Q10" i="29"/>
  <c r="R10" i="29"/>
  <c r="U10" i="29"/>
  <c r="V12" i="29"/>
  <c r="T12" i="29"/>
  <c r="S12" i="29"/>
  <c r="U11" i="29"/>
  <c r="R11" i="29"/>
  <c r="Q11" i="29"/>
  <c r="P11" i="29"/>
  <c r="R12" i="29" l="1"/>
  <c r="Q12" i="29"/>
  <c r="U12" i="29"/>
  <c r="P12" i="29"/>
  <c r="E43" i="1" l="1"/>
  <c r="W40" i="1"/>
  <c r="W14" i="1"/>
  <c r="E42" i="1" l="1"/>
  <c r="W4" i="1" l="1"/>
  <c r="W27" i="1"/>
  <c r="W26" i="1"/>
  <c r="P43" i="44" l="1"/>
  <c r="O43" i="44"/>
  <c r="N43" i="44"/>
  <c r="M43" i="44"/>
  <c r="L43" i="44"/>
  <c r="K43" i="44"/>
  <c r="J43" i="44"/>
  <c r="I43" i="44"/>
  <c r="H43" i="44"/>
  <c r="G43" i="44"/>
  <c r="F43" i="44"/>
  <c r="E43" i="44"/>
  <c r="D43" i="44"/>
  <c r="P42" i="44"/>
  <c r="O42" i="44"/>
  <c r="N42" i="44"/>
  <c r="M42" i="44"/>
  <c r="L42" i="44"/>
  <c r="K42" i="44"/>
  <c r="J42" i="44"/>
  <c r="I42" i="44"/>
  <c r="H42" i="44"/>
  <c r="G42" i="44"/>
  <c r="F42" i="44"/>
  <c r="D42" i="44"/>
  <c r="Q41" i="44"/>
  <c r="Q40" i="44"/>
  <c r="Q39" i="44"/>
  <c r="Q38" i="44"/>
  <c r="Q36" i="44"/>
  <c r="Q35" i="44"/>
  <c r="Q34" i="44"/>
  <c r="Q33" i="44"/>
  <c r="Q31" i="44"/>
  <c r="Q30" i="44"/>
  <c r="Q29" i="44"/>
  <c r="Q28" i="44"/>
  <c r="Q27" i="44"/>
  <c r="Q26" i="44"/>
  <c r="Q25" i="44"/>
  <c r="Q24" i="44"/>
  <c r="Q23" i="44"/>
  <c r="Q22" i="44"/>
  <c r="Q21" i="44"/>
  <c r="Q20" i="44"/>
  <c r="Q19" i="44"/>
  <c r="Q18" i="44"/>
  <c r="Q17" i="44"/>
  <c r="Q16" i="44"/>
  <c r="Q15" i="44"/>
  <c r="Q14" i="44"/>
  <c r="Q12" i="44"/>
  <c r="Q11" i="44"/>
  <c r="Q10" i="44"/>
  <c r="Q9" i="44"/>
  <c r="Q8" i="44"/>
  <c r="Q5" i="44"/>
  <c r="Q4" i="44"/>
  <c r="Q3" i="44"/>
  <c r="Q2" i="44"/>
  <c r="Q42" i="44" l="1"/>
  <c r="J43" i="1"/>
  <c r="D43" i="1"/>
  <c r="N43" i="1"/>
  <c r="H43" i="1"/>
  <c r="L44" i="2" l="1"/>
  <c r="M44" i="2"/>
  <c r="N44" i="2"/>
  <c r="I44" i="2"/>
  <c r="J44" i="2"/>
  <c r="K44" i="2"/>
  <c r="H44" i="2"/>
  <c r="J32" i="33" l="1"/>
  <c r="J31" i="33"/>
  <c r="J30" i="33"/>
  <c r="J29" i="33"/>
  <c r="J33" i="33" s="1"/>
  <c r="J23" i="33"/>
  <c r="J22" i="33"/>
  <c r="J21" i="33"/>
  <c r="J20" i="33"/>
  <c r="P2" i="33" l="1"/>
  <c r="K2" i="33"/>
  <c r="L2" i="33" s="1"/>
  <c r="M2" i="33"/>
  <c r="N2" i="33"/>
  <c r="Q2" i="33"/>
  <c r="O2" i="33"/>
  <c r="J34" i="33"/>
  <c r="I2" i="12" l="1"/>
  <c r="D2" i="12" l="1"/>
  <c r="S2" i="12" s="1"/>
  <c r="Q2" i="12"/>
  <c r="O2" i="12"/>
  <c r="P2" i="12"/>
  <c r="N2" i="12"/>
  <c r="L2" i="12" l="1"/>
  <c r="H42" i="1" l="1"/>
  <c r="J42" i="1"/>
  <c r="K31" i="1" l="1"/>
  <c r="K39" i="1"/>
  <c r="I28" i="1"/>
  <c r="K41" i="1"/>
  <c r="W41" i="1"/>
  <c r="K37" i="1"/>
  <c r="W37" i="1"/>
  <c r="K4" i="1"/>
  <c r="K16" i="1"/>
  <c r="W16" i="1"/>
  <c r="K19" i="1"/>
  <c r="W19" i="1"/>
  <c r="K40" i="1"/>
  <c r="K25" i="1"/>
  <c r="W25" i="1"/>
  <c r="K27" i="1"/>
  <c r="K38" i="1"/>
  <c r="W38" i="1"/>
  <c r="K35" i="1"/>
  <c r="W35" i="1"/>
  <c r="K8" i="1"/>
  <c r="W8" i="1"/>
  <c r="K22" i="1"/>
  <c r="W22" i="1"/>
  <c r="K17" i="1"/>
  <c r="W17" i="1"/>
  <c r="K3" i="1"/>
  <c r="W3" i="1"/>
  <c r="K2" i="1"/>
  <c r="W2" i="1"/>
  <c r="K23" i="1"/>
  <c r="W23" i="1"/>
  <c r="K14" i="1"/>
  <c r="W31" i="1"/>
  <c r="W39" i="1"/>
  <c r="K11" i="1"/>
  <c r="W11" i="1"/>
  <c r="K6" i="1"/>
  <c r="W6" i="1"/>
  <c r="K7" i="1"/>
  <c r="W7" i="1"/>
  <c r="K29" i="1"/>
  <c r="W29" i="1"/>
  <c r="K36" i="1"/>
  <c r="W36" i="1"/>
  <c r="K13" i="1"/>
  <c r="I12" i="1"/>
  <c r="W13" i="1"/>
  <c r="W34" i="1"/>
  <c r="W32" i="1"/>
  <c r="W18" i="1"/>
  <c r="W10" i="1"/>
  <c r="W15" i="1"/>
  <c r="W12" i="1"/>
  <c r="W9" i="1"/>
  <c r="W28" i="1"/>
  <c r="W20" i="1"/>
  <c r="W21" i="1"/>
  <c r="W30" i="1"/>
  <c r="W5" i="1"/>
  <c r="W33" i="1"/>
  <c r="W24" i="1"/>
  <c r="K24" i="1"/>
  <c r="K33" i="1"/>
  <c r="K5" i="1"/>
  <c r="K30" i="1"/>
  <c r="K26" i="1"/>
  <c r="K21" i="1"/>
  <c r="K20" i="1"/>
  <c r="K9" i="1"/>
  <c r="K15" i="1"/>
  <c r="K12" i="1" l="1"/>
  <c r="I43" i="1"/>
  <c r="K43" i="1" s="1"/>
  <c r="V30" i="1"/>
  <c r="V13" i="1"/>
  <c r="V7" i="1"/>
  <c r="V35" i="1"/>
  <c r="V37" i="1"/>
  <c r="V21" i="1"/>
  <c r="V14" i="1"/>
  <c r="V5" i="1"/>
  <c r="V29" i="1"/>
  <c r="V8" i="1"/>
  <c r="V25" i="1"/>
  <c r="V4" i="1"/>
  <c r="V39" i="1"/>
  <c r="V26" i="1"/>
  <c r="V36" i="1"/>
  <c r="V22" i="1"/>
  <c r="V27" i="1"/>
  <c r="V16" i="1"/>
  <c r="V33" i="1"/>
  <c r="V6" i="1"/>
  <c r="V2" i="1"/>
  <c r="V9" i="1"/>
  <c r="V20" i="1"/>
  <c r="V17" i="1"/>
  <c r="V38" i="1"/>
  <c r="V19" i="1"/>
  <c r="V41" i="1"/>
  <c r="V24" i="1"/>
  <c r="V31" i="1"/>
  <c r="K28" i="1"/>
  <c r="I42" i="1"/>
  <c r="V40" i="1"/>
  <c r="W42" i="1"/>
  <c r="V3" i="1"/>
  <c r="V23" i="1"/>
  <c r="V11" i="1"/>
  <c r="V15" i="1"/>
  <c r="V12" i="1" l="1"/>
  <c r="V28" i="1"/>
  <c r="K10" i="1"/>
  <c r="V10" i="1" l="1"/>
  <c r="K34" i="1"/>
  <c r="K32" i="1"/>
  <c r="K18" i="1"/>
  <c r="V18" i="1" l="1"/>
  <c r="V34" i="1"/>
  <c r="K42" i="1"/>
  <c r="O42" i="1" l="1"/>
  <c r="V32" i="1"/>
  <c r="V42" i="1" l="1"/>
</calcChain>
</file>

<file path=xl/comments1.xml><?xml version="1.0" encoding="utf-8"?>
<comments xmlns="http://schemas.openxmlformats.org/spreadsheetml/2006/main">
  <authors>
    <author>Lea Guerin</author>
  </authors>
  <commentList>
    <comment ref="L2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François Jackow l'autre moitié de l'année
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Bonus est pour Bouygues "Actions de performance 1" 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Application du taux de conversion EUR-USD tel que publié par l'entreprise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Application du taux de conversion EUR-USD tel que publié par l'entreprise 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Application du taux de conversion EUR-USD tel que publié par l'entreprise</t>
        </r>
      </text>
    </comment>
    <comment ref="H37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"Résultat net de la période attribuable aux porteurs d'actions"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PDG jusqu'au 1er juillet, puis devenu Président. 
La Direction Générale a été reprise par  Estelle Brachlianoff</t>
        </r>
      </text>
    </comment>
  </commentList>
</comments>
</file>

<file path=xl/comments2.xml><?xml version="1.0" encoding="utf-8"?>
<comments xmlns="http://schemas.openxmlformats.org/spreadsheetml/2006/main">
  <authors>
    <author>Lea Guerin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François Jackow l'autre moitié de l'année
</t>
        </r>
      </text>
    </comment>
    <comment ref="AC9" authorId="0" shapeId="0">
      <text>
        <r>
          <rPr>
            <b/>
            <sz val="9"/>
            <color indexed="81"/>
            <rFont val="Tahoma"/>
            <family val="2"/>
          </rPr>
          <t xml:space="preserve">Lea Guerin:
</t>
        </r>
        <r>
          <rPr>
            <sz val="9"/>
            <color indexed="81"/>
            <rFont val="Tahoma"/>
            <family val="2"/>
          </rPr>
          <t>Pour Bouygues, l'onglet "Bonus" est une partie des "actions de performance". Il faut donc additionner "Bonus" et "Actions de performance" pour calculer la part.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Lea Guerin:</t>
        </r>
        <r>
          <rPr>
            <sz val="9"/>
            <color indexed="81"/>
            <rFont val="Tahoma"/>
            <family val="2"/>
          </rPr>
          <t xml:space="preserve">
PDG jusqu'au 1er juillet, puis devenu Président. 
La Direction Générale a été reprise par  Estelle Brachlianoff</t>
        </r>
      </text>
    </comment>
  </commentList>
</comments>
</file>

<file path=xl/comments3.xml><?xml version="1.0" encoding="utf-8"?>
<comments xmlns="http://schemas.openxmlformats.org/spreadsheetml/2006/main">
  <authors>
    <author>Lea Guerin</author>
  </authors>
  <commentList>
    <comment ref="J13" authorId="0" shapeId="0">
      <text/>
    </comment>
  </commentList>
</comments>
</file>

<file path=xl/sharedStrings.xml><?xml version="1.0" encoding="utf-8"?>
<sst xmlns="http://schemas.openxmlformats.org/spreadsheetml/2006/main" count="5741" uniqueCount="752">
  <si>
    <t xml:space="preserve">nom </t>
  </si>
  <si>
    <t xml:space="preserve">Dassault systèmes </t>
  </si>
  <si>
    <t>Dividends+Buybacks</t>
  </si>
  <si>
    <t>Teleperformance</t>
  </si>
  <si>
    <t>https://www.teleperformance.com/media/101j4zxs/opt_telep_deu_2022_fr_mel.pdf</t>
  </si>
  <si>
    <t>https://investor.3ds.com/static-files/9c010aec-2cf4-4cd4-acfd-202f31f34623</t>
  </si>
  <si>
    <t>Stellantis</t>
  </si>
  <si>
    <t>https://www.stellantis.com/content/dam/stellantis-corporate/investors/financial-reports/Stellantis-NV-20221231-Annual-Report.pdf</t>
  </si>
  <si>
    <t>Kering</t>
  </si>
  <si>
    <t>https://www.kering.com/api/download-file/?path=KERING_DEU_2022_FR_63c66c483f.pdf</t>
  </si>
  <si>
    <t>link-source</t>
  </si>
  <si>
    <t>Carrefour</t>
  </si>
  <si>
    <t>https://www.carrefour.com/sites/default/files/2023-04/Carrefour%20-%20Document%20d_enregistrement%20universel%202022_3.pdf</t>
  </si>
  <si>
    <t>EssilorLuxxotica</t>
  </si>
  <si>
    <t>Danone</t>
  </si>
  <si>
    <t>Capgemini</t>
  </si>
  <si>
    <t>Saint-Gobain</t>
  </si>
  <si>
    <t>L'Oréal</t>
  </si>
  <si>
    <t>LVMH</t>
  </si>
  <si>
    <t xml:space="preserve">Renault </t>
  </si>
  <si>
    <t>Schneider Electric</t>
  </si>
  <si>
    <t>Arcelor Mittal</t>
  </si>
  <si>
    <t>STMicroelectronics</t>
  </si>
  <si>
    <t>year</t>
  </si>
  <si>
    <t>net_profit</t>
  </si>
  <si>
    <t>personnel_expenses</t>
  </si>
  <si>
    <t>number_of_employees</t>
  </si>
  <si>
    <t>average_remuneration</t>
  </si>
  <si>
    <t>CEO_remuneration</t>
  </si>
  <si>
    <t>Pernod Ricard</t>
  </si>
  <si>
    <t>CEO-to-worker_wage_gap</t>
  </si>
  <si>
    <t>https://www.pernod-ricard.com/sites/default/files/inline-files/Document%20d%27enregistrement%20universel%202023_VFR%20pdf.%20%282%29.pdf</t>
  </si>
  <si>
    <t>https://www.essilorluxottica.com/fr/cap/content/77886/</t>
  </si>
  <si>
    <t>https://www.danone.com/content/dam/corp/global/danonecom/investors/fr-all-publications/2022/registrationdocuments/danoneurd2022fr.pdf</t>
  </si>
  <si>
    <t>https://investors.capgemini.com/fr/publication/document-denregistrement-universel-2022/</t>
  </si>
  <si>
    <t>TotalEnergies</t>
  </si>
  <si>
    <t>Sanofi</t>
  </si>
  <si>
    <t>BNP Paribas</t>
  </si>
  <si>
    <t>Axa</t>
  </si>
  <si>
    <t>Crédit Agricole</t>
  </si>
  <si>
    <t>Vinci</t>
  </si>
  <si>
    <t>Société Générale</t>
  </si>
  <si>
    <t>Engie</t>
  </si>
  <si>
    <t>Orange</t>
  </si>
  <si>
    <t>Air Liquide</t>
  </si>
  <si>
    <t>Airbus</t>
  </si>
  <si>
    <t>Hermès</t>
  </si>
  <si>
    <t>Michelin</t>
  </si>
  <si>
    <t>Bouygues</t>
  </si>
  <si>
    <t>Thalès</t>
  </si>
  <si>
    <t>Veolia</t>
  </si>
  <si>
    <t>Safran</t>
  </si>
  <si>
    <t>Publicis</t>
  </si>
  <si>
    <t>Vivendi</t>
  </si>
  <si>
    <t>Legrand</t>
  </si>
  <si>
    <t>Eurofins Scientific</t>
  </si>
  <si>
    <t>Alstom</t>
  </si>
  <si>
    <t>Unibail-Rodamco-Westfield</t>
  </si>
  <si>
    <t>Worldline</t>
  </si>
  <si>
    <t>group</t>
  </si>
  <si>
    <t>CAC40</t>
  </si>
  <si>
    <t>https://totalenergies.com/sites/g/files/nytnzq121/files/documents/2023-03/TotalEnergies_DEU_2022_VF.pdf</t>
  </si>
  <si>
    <t>CEO_name</t>
  </si>
  <si>
    <t>CEO_gender</t>
  </si>
  <si>
    <t>H</t>
  </si>
  <si>
    <t xml:space="preserve">Nicolas </t>
  </si>
  <si>
    <t>Hieronimus</t>
  </si>
  <si>
    <t xml:space="preserve">Patrick </t>
  </si>
  <si>
    <t>Pouyanné</t>
  </si>
  <si>
    <t>CEO_surname</t>
  </si>
  <si>
    <t>https://www.loreal-finance.com/system/files/2023-03/LOREAL_Document_Enregistrement_Universel_2022_fr.pdf</t>
  </si>
  <si>
    <t>Benoit</t>
  </si>
  <si>
    <t>Bazin</t>
  </si>
  <si>
    <t>https://www.saint-gobain.com/sites/saint-gobain.com/files/media/document/DEU_2022_SAINT_GOBAIN_VF.pdf</t>
  </si>
  <si>
    <t>Bernard</t>
  </si>
  <si>
    <t>Arnault</t>
  </si>
  <si>
    <t>https://r.lvmh-static.com/uploads/2023/03/deu-2022-vf_vdef.pdf</t>
  </si>
  <si>
    <t>https://www.renaultgroup.com/wp-content/uploads/2023/03/renault_deu_20230316.pdf</t>
  </si>
  <si>
    <t xml:space="preserve">Luca </t>
  </si>
  <si>
    <t>De Meo</t>
  </si>
  <si>
    <t>https://www.se.com/ww/fr/assets/342/document/394612/2022-document-enregistrement-universel.pdf</t>
  </si>
  <si>
    <t>Jean-Pascal</t>
  </si>
  <si>
    <t>Tricoire</t>
  </si>
  <si>
    <t>Paul</t>
  </si>
  <si>
    <t>Hudson</t>
  </si>
  <si>
    <t>https://www.sanofi.fr/dam/jcr:b035f4c0-fa95-40ac-90e5-87feddfc0c7a/2022_Document_enregistrement_universel%20Sanofi%20(002).pdf</t>
  </si>
  <si>
    <t>Jean-Laurent</t>
  </si>
  <si>
    <t>Bonnafé</t>
  </si>
  <si>
    <t>https://invest.bnpparibas/document/document-denregistrement-universel-2022</t>
  </si>
  <si>
    <t>https://www-axa-com.cdn.axa-contento-118412.eu/www-axa-com/1bea9624-4b22-40c2-ba38-97d77c233c19_axa_urd2022_accessibleb_vf.pdf</t>
  </si>
  <si>
    <t>Thomas</t>
  </si>
  <si>
    <t>Buberl</t>
  </si>
  <si>
    <t xml:space="preserve">Philippe </t>
  </si>
  <si>
    <t>Brassac</t>
  </si>
  <si>
    <t>https://www.credit-agricole.com/pdfPreview/197620</t>
  </si>
  <si>
    <t>https://www.vinci.com/publi/vinci/vinci-document-enregistrement-universel-2022.pdf</t>
  </si>
  <si>
    <t>Xavier</t>
  </si>
  <si>
    <t>Huillard</t>
  </si>
  <si>
    <t>https://www.societegenerale.com/sites/default/files/documents/2023-03/document-d-enregistrement-universel-2023-fr.pdf</t>
  </si>
  <si>
    <t xml:space="preserve">Frédéric </t>
  </si>
  <si>
    <t>Oudéa</t>
  </si>
  <si>
    <t xml:space="preserve">Catherine </t>
  </si>
  <si>
    <t>MacGregor</t>
  </si>
  <si>
    <t>F</t>
  </si>
  <si>
    <t>https://www.engie.com/sites/default/files/assets/documents/2023-03/ENGIE2022_URD_FR_MEL2_23_03_10.pdf</t>
  </si>
  <si>
    <t>https://www.orange.com/sites/orangecom/files/documents/2023-03/ORANGE_DEU_2022_VF.pdf</t>
  </si>
  <si>
    <t>Christel</t>
  </si>
  <si>
    <t>Heydemann</t>
  </si>
  <si>
    <t xml:space="preserve">Bernard </t>
  </si>
  <si>
    <t>Charlès</t>
  </si>
  <si>
    <t xml:space="preserve">Aiman </t>
  </si>
  <si>
    <t>Ezzat</t>
  </si>
  <si>
    <t xml:space="preserve">Alexandre </t>
  </si>
  <si>
    <t>Bompard</t>
  </si>
  <si>
    <t xml:space="preserve">Antoine </t>
  </si>
  <si>
    <t>Bernard de Saint-Affrique</t>
  </si>
  <si>
    <t xml:space="preserve">Francesco </t>
  </si>
  <si>
    <t>Milleri</t>
  </si>
  <si>
    <t>François-Henri</t>
  </si>
  <si>
    <t>Pinault</t>
  </si>
  <si>
    <t>Ricard</t>
  </si>
  <si>
    <t xml:space="preserve">Carlos </t>
  </si>
  <si>
    <t>Tavares</t>
  </si>
  <si>
    <t>Daniel</t>
  </si>
  <si>
    <t>Julien</t>
  </si>
  <si>
    <t>Potier</t>
  </si>
  <si>
    <t>https://www.airliquide.com/sites/airliquide.com/files/2023-03/air-liquide-document-enregistrement-universel-2022-interactif.pdf</t>
  </si>
  <si>
    <t>https://www.airbus.com/sites/g/files/jlcbta136/files/2023-04/Airbus%20Universal%20Registration%20Document%202022.pdf</t>
  </si>
  <si>
    <t>Guillaume</t>
  </si>
  <si>
    <t>Faury</t>
  </si>
  <si>
    <t>Dumas</t>
  </si>
  <si>
    <t>https://assets-finance.hermes.com/s3fs-public/node/pdf_file/2023-05/1684143290/her2022_deu_fr_01.pdf</t>
  </si>
  <si>
    <t>https://www.michelin.com/finance/informations-reglementees/rapport-annuel/</t>
  </si>
  <si>
    <t>Axel</t>
  </si>
  <si>
    <t xml:space="preserve">Florent </t>
  </si>
  <si>
    <t>Menegaux</t>
  </si>
  <si>
    <t>https://www.bouygues.com/wp-content/uploads/2023/03/deu-2022_complet-2103_bycom.pdf</t>
  </si>
  <si>
    <t xml:space="preserve">Olivier </t>
  </si>
  <si>
    <t>Roussat</t>
  </si>
  <si>
    <t xml:space="preserve">Patrice </t>
  </si>
  <si>
    <t>Caine</t>
  </si>
  <si>
    <t>https://www.thalesgroup.com/sites/default/files/2023-04/Thales%20-%20DEU%202022%20FR.pdf</t>
  </si>
  <si>
    <t>https://www.veolia.com/sites/g/files/dvc4206/files/document/2023/04/VE_URD_2022_FR.pdf</t>
  </si>
  <si>
    <t>Frérot</t>
  </si>
  <si>
    <t>https://www.safran-group.com/sites/default/files/2023-04/PDF_MEL_SAFR_DEU_2022.pdf</t>
  </si>
  <si>
    <t>Andriès</t>
  </si>
  <si>
    <t>https://documents.publicisgroupe.com/urd2022/PBS_PUBLICIS_2022_URD_FR_MEL_23_04_26.pdf?v2</t>
  </si>
  <si>
    <t>Arthur</t>
  </si>
  <si>
    <t>Sadoun</t>
  </si>
  <si>
    <t>https://www.vivendi.com/publications/rapport-annuel-document-denregistrement-universel-2022/</t>
  </si>
  <si>
    <t xml:space="preserve">Arnaud </t>
  </si>
  <si>
    <t>De Puyfontaine</t>
  </si>
  <si>
    <t xml:space="preserve">Aditya </t>
  </si>
  <si>
    <t>Mittal</t>
  </si>
  <si>
    <t>https://corporate.arcelormittal.com/media/obsd1lud/annual-report-2022.pdf</t>
  </si>
  <si>
    <t>Jean-Marc</t>
  </si>
  <si>
    <t>Chery</t>
  </si>
  <si>
    <t>https://investors.st.com/static-files/db4d90f3-46af-42de-b0b2-023e6b1f3f08</t>
  </si>
  <si>
    <t>https://www.legrandgroup.com/sites/default/files/Documents_PDF_Legrand/Finance/2023/autres/Legrand_DEU_2022_FR_VDEF_1684154522.pdf</t>
  </si>
  <si>
    <t xml:space="preserve">Benoit </t>
  </si>
  <si>
    <t>Coquart</t>
  </si>
  <si>
    <t>Gilles</t>
  </si>
  <si>
    <t>Martin</t>
  </si>
  <si>
    <t>https://cdnmedia.eurofins.com/corporate-eurofins/media/12160326/eurofins-scientific-2022-annual-report_final.pdf</t>
  </si>
  <si>
    <t>Henri</t>
  </si>
  <si>
    <t>Pourpart-Lafarge</t>
  </si>
  <si>
    <t>https://www.alstom.com/sites/alstom.com/files/2023/06/06/Alstom_2022_2023_Universal_Registration_Document_URD_FR.pdf</t>
  </si>
  <si>
    <t>https://cdn.urw.com/-/media/Corporate~o~Sites/Unibail-Rodamco-Corporate/Files/Homepage/INVESTORS/Regulated-Information/Registration-Documents/2023/20230307-Universal-Registration-Document_FR.pdf?h=362&amp;w=625&amp;revision=14ba931b-f422-46d5-90a4-c69d283869df</t>
  </si>
  <si>
    <t>Jean-Marie</t>
  </si>
  <si>
    <t>Tritant</t>
  </si>
  <si>
    <t>https://investors.worldline.com/content/dam/investors-worldline-com/assets/documents/universal-registration-document/wdl2022-urd-fr-mel-23-04-26.pdf</t>
  </si>
  <si>
    <t>Grapinet</t>
  </si>
  <si>
    <t>Fixe</t>
  </si>
  <si>
    <t>Variable</t>
  </si>
  <si>
    <t>Bonus</t>
  </si>
  <si>
    <t>Actions de performance</t>
  </si>
  <si>
    <t>Nature + Autres</t>
  </si>
  <si>
    <t xml:space="preserve">Retraite </t>
  </si>
  <si>
    <t>Part court-terme/financier</t>
  </si>
  <si>
    <t>Part long-terme/financier</t>
  </si>
  <si>
    <t>Poids non financier dans la rémunération totale</t>
  </si>
  <si>
    <t>Poids non financier mesurable dans la rémunération totale</t>
  </si>
  <si>
    <t>Rémunération Variable</t>
  </si>
  <si>
    <t>Description</t>
  </si>
  <si>
    <t>Part (en %)</t>
  </si>
  <si>
    <t>Analyse Court Terme, Long Terme, Neutre</t>
  </si>
  <si>
    <t>Financier/ Non-Financier</t>
  </si>
  <si>
    <t>Pour F : Critère de valeur actionnariale</t>
  </si>
  <si>
    <t>Pour Non-Financier : objectifs Mesurables?</t>
  </si>
  <si>
    <t>Critère 1</t>
  </si>
  <si>
    <t xml:space="preserve">Croissance organique du chiffre d'affaire </t>
  </si>
  <si>
    <t>CT</t>
  </si>
  <si>
    <t>Critère 2</t>
  </si>
  <si>
    <t>Taux EBITA courant</t>
  </si>
  <si>
    <t>Critère 3</t>
  </si>
  <si>
    <t xml:space="preserve">Engagement des employés </t>
  </si>
  <si>
    <t>N</t>
  </si>
  <si>
    <t>NF</t>
  </si>
  <si>
    <t>Critère 4</t>
  </si>
  <si>
    <t>Oui</t>
  </si>
  <si>
    <t>Critère 5</t>
  </si>
  <si>
    <t xml:space="preserve">Diversité </t>
  </si>
  <si>
    <t>Critère 6</t>
  </si>
  <si>
    <t>Critère 7</t>
  </si>
  <si>
    <t>Critère 8</t>
  </si>
  <si>
    <t>Critère 9</t>
  </si>
  <si>
    <t>Critère 10</t>
  </si>
  <si>
    <t>Critère 11</t>
  </si>
  <si>
    <t>Analyse</t>
  </si>
  <si>
    <t>Actions gratuites</t>
  </si>
  <si>
    <t>Performance boursière comparée au CAC40</t>
  </si>
  <si>
    <t>Part financière</t>
  </si>
  <si>
    <t>Part non financière</t>
  </si>
  <si>
    <t>Dont mesurable</t>
  </si>
  <si>
    <t>Valeur actionnariale</t>
  </si>
  <si>
    <t>Nom</t>
  </si>
  <si>
    <t>Entreprise</t>
  </si>
  <si>
    <t>Poste</t>
  </si>
  <si>
    <t>Rémunération 
totale</t>
  </si>
  <si>
    <t>Daniel Julien</t>
  </si>
  <si>
    <t>PDG</t>
  </si>
  <si>
    <t>Taux d'EBITA courant</t>
  </si>
  <si>
    <t>Court-terme</t>
  </si>
  <si>
    <t>Long-terme</t>
  </si>
  <si>
    <t>Climat</t>
  </si>
  <si>
    <t>oui</t>
  </si>
  <si>
    <t>Poids financier dans la rémunération totale</t>
  </si>
  <si>
    <t>Poids valeur actionnariale dans la rémunération totale</t>
  </si>
  <si>
    <t>Carlos Tavares</t>
  </si>
  <si>
    <t>Adjusted Operating Income (AOI)</t>
  </si>
  <si>
    <t>Industrial Free Cash Flow</t>
  </si>
  <si>
    <t>Synergies</t>
  </si>
  <si>
    <t xml:space="preserve">Quality </t>
  </si>
  <si>
    <t>Relative Total Shareholder Return</t>
  </si>
  <si>
    <t xml:space="preserve">Synergies (less implementation cost) </t>
  </si>
  <si>
    <t xml:space="preserve">CAFE Compliance </t>
  </si>
  <si>
    <t>Electrification Vehicle Namplates</t>
  </si>
  <si>
    <t>LT</t>
  </si>
  <si>
    <t>Variable Long Terme</t>
  </si>
  <si>
    <t>CT sur financier</t>
  </si>
  <si>
    <t>LT sur financier</t>
  </si>
  <si>
    <t>Alexandre Bompard</t>
  </si>
  <si>
    <t>Résultat opérationnel courant</t>
  </si>
  <si>
    <t>Chiffre d'affaires</t>
  </si>
  <si>
    <t>Cash flow libre net</t>
  </si>
  <si>
    <t>Indice RSE et Transition Alimentaire</t>
  </si>
  <si>
    <t>Qualité de gouvernance</t>
  </si>
  <si>
    <t>non</t>
  </si>
  <si>
    <t>cash-flow libre net</t>
  </si>
  <si>
    <t>Indice RSE et Transition Alimentaire Carrefour</t>
  </si>
  <si>
    <t>NPS (Net Promoter Score)</t>
  </si>
  <si>
    <t>Dassault Systèmes</t>
  </si>
  <si>
    <t>Bernard Charlès</t>
  </si>
  <si>
    <t>ESG</t>
  </si>
  <si>
    <t>Conformité du bénéfice net dilué par
action non-IFRS sur une base consolidée
aux objectifs communiqués par Dassault
Systèmes pour l’année</t>
  </si>
  <si>
    <t>Évaluation des processus d’efficacité de
l’Entreprise, mesurée par la conformité du
niveau de marge opérationnelle non-IFRS
aux objectifs communiqués par Dassault
Systèmes pour l’année</t>
  </si>
  <si>
    <t>Positionnement concurrentiel, mesuré
par l’évolution de la croissance du
chiffre d’affaires relative comparée à la
concurrence et la part du chiffre d’affaires
cloud dans le chiffre d’affaires logiciel
total</t>
  </si>
  <si>
    <t>Composition du portefeuille de produits</t>
  </si>
  <si>
    <t>Mise en œuvre de la stratégie à court, moyen et long terme du Groupe contribuant à sa croissance future</t>
  </si>
  <si>
    <t xml:space="preserve"> taux de croissance du BNPA non-IFRS,
neutralisé des effets de change, réalisé en 2021 par rapport
au BNPA non-IFRS réalisé en 2018.</t>
  </si>
  <si>
    <t>François-Henri Pinault</t>
  </si>
  <si>
    <t>Résultat opérationnel
courant du Groupe</t>
  </si>
  <si>
    <t>Cash-flow libre opérationnel du Groupe</t>
  </si>
  <si>
    <t>Développement durable</t>
  </si>
  <si>
    <t>Responsabilité sociétale d’entreprise</t>
  </si>
  <si>
    <t>Gestions des organisations et des talents</t>
  </si>
  <si>
    <t xml:space="preserve">Commentaire </t>
  </si>
  <si>
    <t>Résultat opérationnel courant du Groupe</t>
  </si>
  <si>
    <t>Féminisation des équipes dirigeantes</t>
  </si>
  <si>
    <t>Biodiversité</t>
  </si>
  <si>
    <t>Croissance du bénéfice net par action (BNPA) du Groupe (1) ajusté (2) (à taux de change constants (3))</t>
  </si>
  <si>
    <t>Croissance du chiffre d’affaires (à taux de change constants (3) , hors acquisition stratégique</t>
  </si>
  <si>
    <t>Résultat opérationnel ajusté (2) (4) en pourcentage du chiffre d’affaires (à taux de change constants (3) )</t>
  </si>
  <si>
    <t>Maîtrise des frais généraux et administratifs (2</t>
  </si>
  <si>
    <t>Responsabilité sociale et environnementale</t>
  </si>
  <si>
    <t>La croissance annualisée du cours de l’action EssilorLuxottica</t>
  </si>
  <si>
    <t>Paul Hudson</t>
  </si>
  <si>
    <t xml:space="preserve">Croissance des ventes </t>
  </si>
  <si>
    <t xml:space="preserve">Résultat net des activités </t>
  </si>
  <si>
    <t>Free cash flow</t>
  </si>
  <si>
    <t>Marge opérationnelle des activités</t>
  </si>
  <si>
    <t>Croissance des nouveaux actifs clés</t>
  </si>
  <si>
    <t>Transformation de l'activité</t>
  </si>
  <si>
    <t>People &amp; Culture</t>
  </si>
  <si>
    <t>RSE</t>
  </si>
  <si>
    <t>Portefeuille de développement</t>
  </si>
  <si>
    <t xml:space="preserve">CT </t>
  </si>
  <si>
    <t xml:space="preserve">Résultat net </t>
  </si>
  <si>
    <t>Free Cash Flow</t>
  </si>
  <si>
    <t xml:space="preserve">TSR </t>
  </si>
  <si>
    <t>Nicolas Hieronimus</t>
  </si>
  <si>
    <t>Chiffre d’affaires comparable par rapport au budge</t>
  </si>
  <si>
    <t>Écart de croissance du Chiffre d’affaires par rapport aux principaux concurrents</t>
  </si>
  <si>
    <t>Résultat d’exploitation par rapport au budget</t>
  </si>
  <si>
    <t>Bénéfice net par action (3) par rapport au budget</t>
  </si>
  <si>
    <t>Cash-flow (4)par rapport au budget</t>
  </si>
  <si>
    <t>Critères RSE : Programme L'Oréal pour le Futur</t>
  </si>
  <si>
    <t>Critères Ressources Humaines</t>
  </si>
  <si>
    <t>Critères qualitatifs : Management</t>
  </si>
  <si>
    <t>Critères qualitatifs : Image, Réputation, Relations avec les parties prenantes</t>
  </si>
  <si>
    <t xml:space="preserve">CAC 40 </t>
  </si>
  <si>
    <t>Croissance du chiffre d'affaires cosmétique comparable par rapport à celle d'un panel de concurrents</t>
  </si>
  <si>
    <t>évolution du résultat d'exploitation consolidé du Groupe</t>
  </si>
  <si>
    <t xml:space="preserve">Engagements en matière de responsabilité environnementale et sociétale dans le cadre du Programme L'Oréal pour le Futur </t>
  </si>
  <si>
    <t xml:space="preserve">Parité Femmes/Hommes au sein des postes stratégiques dont le Comité Exécutif </t>
  </si>
  <si>
    <t>Aditya Mittal</t>
  </si>
  <si>
    <t>EBITDA</t>
  </si>
  <si>
    <t>FCF</t>
  </si>
  <si>
    <t>Gap to competition targets at Group level</t>
  </si>
  <si>
    <t xml:space="preserve">Health and safety performance targets at Group level </t>
  </si>
  <si>
    <t xml:space="preserve">NF </t>
  </si>
  <si>
    <t xml:space="preserve">TSR vs peer group </t>
  </si>
  <si>
    <t xml:space="preserve">EPS vs peer group </t>
  </si>
  <si>
    <t>H&amp;S</t>
  </si>
  <si>
    <t xml:space="preserve">Climate action </t>
  </si>
  <si>
    <t>D&amp;I</t>
  </si>
  <si>
    <t>euros</t>
  </si>
  <si>
    <t>taux de change : https://www.insee.fr/fr/statistiques/2381462#:~:text=tableauTaux%20de%20change%20de%20l'euro%20par%20rapport%20aux%20principales%20devises&amp;text=Note%20%3A%20en%20fin%20d'ann%C3%A9e,%C3%A0%201%2C0666%20dollar%20am%C3%A9ricain.</t>
  </si>
  <si>
    <t>Olivier Roussat</t>
  </si>
  <si>
    <t>DG</t>
  </si>
  <si>
    <t>Résultat net part du groupe</t>
  </si>
  <si>
    <t>Excedent/endettement financier net</t>
  </si>
  <si>
    <t>Stratégie</t>
  </si>
  <si>
    <t>Conformité</t>
  </si>
  <si>
    <t>Management</t>
  </si>
  <si>
    <t xml:space="preserve">Bernard Arnault </t>
  </si>
  <si>
    <t>Résultat opérationnel</t>
  </si>
  <si>
    <t>Cash flow</t>
  </si>
  <si>
    <t xml:space="preserve">RSE </t>
  </si>
  <si>
    <t>Renforcement des filières d'approvisionnement</t>
  </si>
  <si>
    <t>poursuite et accélération LIFE 360</t>
  </si>
  <si>
    <t xml:space="preserve">apects managériaux </t>
  </si>
  <si>
    <t>Résultat opérationnel + cash flow + taux de marge opérationnelle</t>
  </si>
  <si>
    <t>Antoine Bernard de Saint Affrique</t>
  </si>
  <si>
    <t>Croissance chiffre d'affaires</t>
  </si>
  <si>
    <t>Niveau de marge opérationnelle</t>
  </si>
  <si>
    <t>Génération de free cash flow</t>
  </si>
  <si>
    <t xml:space="preserve">Retour sur capitaux investis </t>
  </si>
  <si>
    <t xml:space="preserve">Engagement des salariés </t>
  </si>
  <si>
    <t xml:space="preserve">Gender pay gap </t>
  </si>
  <si>
    <t xml:space="preserve">Part managériale </t>
  </si>
  <si>
    <t xml:space="preserve">Croissance moyenne BNPA courant </t>
  </si>
  <si>
    <t xml:space="preserve">Note CDP </t>
  </si>
  <si>
    <t>Jean-Pascal Tricoire</t>
  </si>
  <si>
    <t xml:space="preserve">Croissance organique du CA </t>
  </si>
  <si>
    <t>progression du la marge EBITDA</t>
  </si>
  <si>
    <t xml:space="preserve">Taux de génération de trésorie </t>
  </si>
  <si>
    <t>Developpement durable</t>
  </si>
  <si>
    <t xml:space="preserve">Progression du BPA </t>
  </si>
  <si>
    <t xml:space="preserve">TSR relatif </t>
  </si>
  <si>
    <t>Schneider Sustainability External &amp; Relative Index (SSERI)</t>
  </si>
  <si>
    <t>Chiffre d'affaire</t>
  </si>
  <si>
    <t xml:space="preserve">Taux de marge opérationnelle </t>
  </si>
  <si>
    <t xml:space="preserve">Résultat net avant impots </t>
  </si>
  <si>
    <t xml:space="preserve">Free cash flow </t>
  </si>
  <si>
    <t xml:space="preserve">Stratégie RSE - diversité </t>
  </si>
  <si>
    <t xml:space="preserve">Stratégie RSE - développement durable </t>
  </si>
  <si>
    <t xml:space="preserve">Attractivité des talents </t>
  </si>
  <si>
    <t xml:space="preserve">Partenaire stratégique de nos clients </t>
  </si>
  <si>
    <t>Stratégie Intelligent industry</t>
  </si>
  <si>
    <t>"Cette indemnité est sujette à une condition de performance
basée sur la performance pondérée non flexée des indicateurs financiers"</t>
  </si>
  <si>
    <t xml:space="preserve">Interne - FCF </t>
  </si>
  <si>
    <t>Externe - performance action de Capgemini</t>
  </si>
  <si>
    <t>Interne - Emission de GES</t>
  </si>
  <si>
    <t>Xavier Huillard</t>
  </si>
  <si>
    <t xml:space="preserve">RNPA </t>
  </si>
  <si>
    <t>ROC</t>
  </si>
  <si>
    <t xml:space="preserve">Cash flow opérationnel </t>
  </si>
  <si>
    <t xml:space="preserve">Performance managériale et dialogue avec les parties prenantes </t>
  </si>
  <si>
    <t xml:space="preserve">Environnement </t>
  </si>
  <si>
    <t xml:space="preserve">Social et Sécurité </t>
  </si>
  <si>
    <t xml:space="preserve">Gouvernance </t>
  </si>
  <si>
    <t xml:space="preserve">Variable </t>
  </si>
  <si>
    <t xml:space="preserve">Critère économique </t>
  </si>
  <si>
    <t xml:space="preserve">Critère financier </t>
  </si>
  <si>
    <t>Critère ESG</t>
  </si>
  <si>
    <t xml:space="preserve">Revenue growth </t>
  </si>
  <si>
    <t xml:space="preserve">Operating margin ratio before structuring </t>
  </si>
  <si>
    <t>Sustainability / CSR index</t>
  </si>
  <si>
    <t>Market share evolution</t>
  </si>
  <si>
    <t xml:space="preserve">Operating income </t>
  </si>
  <si>
    <t xml:space="preserve">Net operating cash flow </t>
  </si>
  <si>
    <t xml:space="preserve">Execute special manufacturing programs </t>
  </si>
  <si>
    <t xml:space="preserve">Execute strategy implementation </t>
  </si>
  <si>
    <t>Benoit Bazin</t>
  </si>
  <si>
    <t>Saint Gobain</t>
  </si>
  <si>
    <t>S</t>
  </si>
  <si>
    <t>CFL</t>
  </si>
  <si>
    <t xml:space="preserve">ROCE </t>
  </si>
  <si>
    <t xml:space="preserve">Résultat d'exploitation du Groupe </t>
  </si>
  <si>
    <t>Résultat net courant du Groupe par action</t>
  </si>
  <si>
    <t xml:space="preserve">Grow &amp; impact </t>
  </si>
  <si>
    <t xml:space="preserve">Acquisitions et cessions </t>
  </si>
  <si>
    <t xml:space="preserve">Retour sur capitaux employés (ROCE) </t>
  </si>
  <si>
    <t xml:space="preserve">Performance de l'action Saint Gobain </t>
  </si>
  <si>
    <t>Luca de Meo</t>
  </si>
  <si>
    <t>Renault</t>
  </si>
  <si>
    <t xml:space="preserve">Marge opérationnelle Groupe </t>
  </si>
  <si>
    <t xml:space="preserve">FCF </t>
  </si>
  <si>
    <t xml:space="preserve">Couts fixes </t>
  </si>
  <si>
    <t xml:space="preserve">Stratégie </t>
  </si>
  <si>
    <t>Developpement Durable</t>
  </si>
  <si>
    <t>Satisfaction clients/Qualité</t>
  </si>
  <si>
    <t xml:space="preserve">Rendement total pour les actionnaires </t>
  </si>
  <si>
    <t xml:space="preserve">Free Cash flow </t>
  </si>
  <si>
    <t xml:space="preserve">Progression annuelle du revenu net </t>
  </si>
  <si>
    <t xml:space="preserve">Mix des ventes de voitures electrifiées </t>
  </si>
  <si>
    <t>Plan de co-investissement</t>
  </si>
  <si>
    <t>TSR</t>
  </si>
  <si>
    <t xml:space="preserve">MOP Groupe </t>
  </si>
  <si>
    <t>Réduction des taux d'incidents</t>
  </si>
  <si>
    <t xml:space="preserve">Emission de CO2 </t>
  </si>
  <si>
    <t>Alexandre Ricard</t>
  </si>
  <si>
    <t>Budget de résultat opérationnel courant</t>
  </si>
  <si>
    <t xml:space="preserve">Résultat net courant part du groupe </t>
  </si>
  <si>
    <t>Taux de conversion cash du résultat opérationnel courant</t>
  </si>
  <si>
    <t xml:space="preserve">Croissance en valeur des ventes aux Etats Unis </t>
  </si>
  <si>
    <t xml:space="preserve">résultat opérationnel courant </t>
  </si>
  <si>
    <t>Arthur Sadoun</t>
  </si>
  <si>
    <t>Florent Menegaux</t>
  </si>
  <si>
    <t>Evolution relative du cours de l'action</t>
  </si>
  <si>
    <t xml:space="preserve">Performance en RSE </t>
  </si>
  <si>
    <t>Performance opérationnelle</t>
  </si>
  <si>
    <t>Résultat opérationnel des Secteurs</t>
  </si>
  <si>
    <t xml:space="preserve">Niveau annuel du cash flox </t>
  </si>
  <si>
    <t xml:space="preserve">Résultat net du Groupe </t>
  </si>
  <si>
    <t xml:space="preserve">Stratégie de déploiement des transformations </t>
  </si>
  <si>
    <t xml:space="preserve">RSE/TCIR </t>
  </si>
  <si>
    <t xml:space="preserve">Synergies des acquisitions </t>
  </si>
  <si>
    <t>Taux de féminisation</t>
  </si>
  <si>
    <t xml:space="preserve">Emission de CO2 Scopes 1 et 2 et Transport Amont/Aval Scope 3 </t>
  </si>
  <si>
    <t xml:space="preserve">LT </t>
  </si>
  <si>
    <t xml:space="preserve">Tranche 1 : Gouvernance + Synergis + Finance </t>
  </si>
  <si>
    <t xml:space="preserve">Tranche 2 : Résultat opérationnel+Marge opérationnelle + Variation excedent financier net + Respect engagement sociaux </t>
  </si>
  <si>
    <t>Tranche 3 : Résultat opérationnel+Marge opérationnelle + Variation excedent financier net + Respect engagement sociaux</t>
  </si>
  <si>
    <t xml:space="preserve">Tranche 4: Marge opérationnel + Conversion des résultats en cash flow </t>
  </si>
  <si>
    <t>Arnaud De Puyfontaine</t>
  </si>
  <si>
    <t xml:space="preserve">Résultat opérationnel ajusté (EBITA groupe) </t>
  </si>
  <si>
    <t xml:space="preserve">Flux net de trésorerie opérationnelle </t>
  </si>
  <si>
    <t>Succès de l’opération Lagardère</t>
  </si>
  <si>
    <t>Poursuite du développement de Vivendi</t>
  </si>
  <si>
    <t xml:space="preserve">Environnment réduire l'empreinte carbone </t>
  </si>
  <si>
    <t xml:space="preserve">Social promouvoir les talents </t>
  </si>
  <si>
    <t xml:space="preserve">Résultat net ajusté </t>
  </si>
  <si>
    <t>Flux de trésorerie</t>
  </si>
  <si>
    <t>Réduction de l'empreinte carbone</t>
  </si>
  <si>
    <t xml:space="preserve">Evolution de l'action vivendi </t>
  </si>
  <si>
    <t xml:space="preserve">Croissance organique du revenu du Groupe </t>
  </si>
  <si>
    <t>Croissance organique du revenu du Groupe e comparé à
la moyenne pondérée du taux de croissance organique
d'un groupe de référence composé des trois autres
principaux groupes mondiaux de communication a
savoir Omnicom, WPP et IPG</t>
  </si>
  <si>
    <t xml:space="preserve">Marge opérationnelle du Groupe </t>
  </si>
  <si>
    <t xml:space="preserve">Marge opérationnelle du Groupe comparée à celle d’un groupe
de référence composé des trois autres principaux
groupes mondiaux de communication à savoir Omnicom,
WPP et IPG </t>
  </si>
  <si>
    <t xml:space="preserve">Diversité Equité et Inclusion </t>
  </si>
  <si>
    <t xml:space="preserve">Lutte contre le déréglement climatique </t>
  </si>
  <si>
    <t xml:space="preserve">oui </t>
  </si>
  <si>
    <t>Patrick Pouyanné</t>
  </si>
  <si>
    <t xml:space="preserve">Sécurité </t>
  </si>
  <si>
    <t>Evolution des émissions de GES (Scope 1+2)</t>
  </si>
  <si>
    <t xml:space="preserve">Rentabilité des capitaux propres (ROE) </t>
  </si>
  <si>
    <t xml:space="preserve">Ratio d'endettement </t>
  </si>
  <si>
    <t>Point mort cash organique avant dividende</t>
  </si>
  <si>
    <t xml:space="preserve">Rentabilité des capitaux employés moyens (ROACE) </t>
  </si>
  <si>
    <t xml:space="preserve">Pilotage stratégie de transformation de la Société vers la neutralité carbone </t>
  </si>
  <si>
    <t xml:space="preserve">Croissance profitable dans les renouvelables et l'électricité </t>
  </si>
  <si>
    <t>Performance CRS notamment sur la prise en compte du climat dans la stratégie de la Compagnie</t>
  </si>
  <si>
    <t>TSR (classement de la société)</t>
  </si>
  <si>
    <t>Cash flow (classement de la société)</t>
  </si>
  <si>
    <t>Point mort du cash organique</t>
  </si>
  <si>
    <t xml:space="preserve">Evolution émissions GES (Scope 1+2) </t>
  </si>
  <si>
    <t>Evolution émissions GES (Scope 3)</t>
  </si>
  <si>
    <t>Thomas Buberl</t>
  </si>
  <si>
    <t>Commentaire</t>
  </si>
  <si>
    <t>Le calcul de pourcentage basé sur un taux d'atteinte à 180% a été ramené à 100% en multipliant les pourcentages par 0,5556</t>
  </si>
  <si>
    <t xml:space="preserve">Génération de trésorerie </t>
  </si>
  <si>
    <t xml:space="preserve">Résultat opérationnel </t>
  </si>
  <si>
    <t xml:space="preserve">Score AXA sur CSR </t>
  </si>
  <si>
    <t xml:space="preserve">Réduction des émissions carbone </t>
  </si>
  <si>
    <t xml:space="preserve">Augmentation de la part des femmes </t>
  </si>
  <si>
    <t>Score AXA sur TSR</t>
  </si>
  <si>
    <t>Résultat opérationnel par action</t>
  </si>
  <si>
    <t>Génération de trésorerie</t>
  </si>
  <si>
    <t xml:space="preserve">Réduction de l'empreinte carbone dans les actifs </t>
  </si>
  <si>
    <t xml:space="preserve">Indice de recommandation des clients </t>
  </si>
  <si>
    <t xml:space="preserve">Exécution des priorités stratégiques </t>
  </si>
  <si>
    <t xml:space="preserve">Elaboration du prochain plan stratégique </t>
  </si>
  <si>
    <t>Contribution aux objectifs collectifs du Comité de Direction</t>
  </si>
  <si>
    <t xml:space="preserve">Mise en œuvre d'initiatives sélectionnées en matière de RH </t>
  </si>
  <si>
    <t xml:space="preserve">Développement personnel du Directeur Général </t>
  </si>
  <si>
    <t>Benoit Coquard</t>
  </si>
  <si>
    <t xml:space="preserve">Marge opérationnelle </t>
  </si>
  <si>
    <t>Croissance externe</t>
  </si>
  <si>
    <t xml:space="preserve">Innovation et position concurrentielle </t>
  </si>
  <si>
    <t xml:space="preserve">Qualité de la croissance externe </t>
  </si>
  <si>
    <t xml:space="preserve">Développement durable et lutte contre le réchauffement climatique </t>
  </si>
  <si>
    <t>Critères généraux</t>
  </si>
  <si>
    <t xml:space="preserve">Croissance organique du chiffre d'affaires </t>
  </si>
  <si>
    <t>Marge opérationnelle ajustée avant acquisition</t>
  </si>
  <si>
    <t xml:space="preserve">Taux d'atteinte annuels de la feuille de route RSE </t>
  </si>
  <si>
    <t>Antoine Frérot + Estelle Brachlianoff</t>
  </si>
  <si>
    <t xml:space="preserve">Profitabilité (Résultat Net Courant Part du Groupe) </t>
  </si>
  <si>
    <t xml:space="preserve">Capacité d'investissement (free cash flow) </t>
  </si>
  <si>
    <t xml:space="preserve">Croissance Groupe </t>
  </si>
  <si>
    <t xml:space="preserve">Santé et Sécurité </t>
  </si>
  <si>
    <t xml:space="preserve">Ethique et conformité </t>
  </si>
  <si>
    <t xml:space="preserve">Traitement et valorisation des déchets dangereux </t>
  </si>
  <si>
    <t>Engagement du personnel</t>
  </si>
  <si>
    <t>Formation</t>
  </si>
  <si>
    <t>Profitabilité (Résultat Net Part du Groupe)</t>
  </si>
  <si>
    <t>TSR Relatif</t>
  </si>
  <si>
    <t>Mixité</t>
  </si>
  <si>
    <t xml:space="preserve">Accès aux services essentiels </t>
  </si>
  <si>
    <t xml:space="preserve">Economie circulaire/Plastique </t>
  </si>
  <si>
    <t>Dimension stratégique + Performance Managériale</t>
  </si>
  <si>
    <t>Benoit Potier + François Jackow</t>
  </si>
  <si>
    <t xml:space="preserve">Croissance comparable du chiffre d'affaires consolidé </t>
  </si>
  <si>
    <t xml:space="preserve">Organisation / Ressources humaines </t>
  </si>
  <si>
    <t>Performance individuelle</t>
  </si>
  <si>
    <t>Rentabilité des capitaux employés après impots (ROCE)</t>
  </si>
  <si>
    <t>TSR  AL</t>
  </si>
  <si>
    <t>TSR B</t>
  </si>
  <si>
    <t>Evolution des émissions CO2</t>
  </si>
  <si>
    <t>Gilles Grapinet</t>
  </si>
  <si>
    <t>Options de souscriptions</t>
  </si>
  <si>
    <t xml:space="preserve">Excedent Brut Opérationnel </t>
  </si>
  <si>
    <t xml:space="preserve">Flux de trésorerie disponible </t>
  </si>
  <si>
    <t xml:space="preserve">Taux moyen de croissance </t>
  </si>
  <si>
    <t xml:space="preserve">Taux moyen de EBO </t>
  </si>
  <si>
    <t>Taux moyen de flux de trésorerie</t>
  </si>
  <si>
    <t xml:space="preserve">Score Engagement et Diversité </t>
  </si>
  <si>
    <t>Réduction des émissions CO2 + Score Eco Vadis</t>
  </si>
  <si>
    <t>Axel Dumas</t>
  </si>
  <si>
    <t>Hermes</t>
  </si>
  <si>
    <t>Evolution du résultat consolidé avant impôt</t>
  </si>
  <si>
    <t>Guillaume Faury</t>
  </si>
  <si>
    <t>EBIT</t>
  </si>
  <si>
    <t>CO2</t>
  </si>
  <si>
    <t>FR1</t>
  </si>
  <si>
    <t xml:space="preserve">Top Company objectives </t>
  </si>
  <si>
    <t xml:space="preserve">Perform again </t>
  </si>
  <si>
    <t xml:space="preserve">Commercial aviation market position </t>
  </si>
  <si>
    <t>Secure and deliver key defencce programmes</t>
  </si>
  <si>
    <t>Deliver Key 2022 milestones</t>
  </si>
  <si>
    <t xml:space="preserve">Personal development </t>
  </si>
  <si>
    <t>EPS (Earnings per Share)</t>
  </si>
  <si>
    <t xml:space="preserve">FCF (Free cash flow) </t>
  </si>
  <si>
    <t>Jean-Laurent Bonnafé</t>
  </si>
  <si>
    <t>Bénéfice net par action</t>
  </si>
  <si>
    <t>Réalisation du budget de résultat brut d'exploitation du Groupe</t>
  </si>
  <si>
    <t>Critères qualitatifs</t>
  </si>
  <si>
    <t>Progression intrinsèque de l'action BNPP</t>
  </si>
  <si>
    <t>Surperformance de l'action BNPP</t>
  </si>
  <si>
    <t>Henri Pourpat-Lafarge</t>
  </si>
  <si>
    <t>Cash flow libre</t>
  </si>
  <si>
    <t xml:space="preserve">Résultat d'exploitation ajusté </t>
  </si>
  <si>
    <t xml:space="preserve">Marge sur commandes reçues </t>
  </si>
  <si>
    <t xml:space="preserve">Taux d'accidents déclarés </t>
  </si>
  <si>
    <t xml:space="preserve">Taux de complétion par les manages </t>
  </si>
  <si>
    <t>Pourcentage de femmes au sein de l'encadrement</t>
  </si>
  <si>
    <t xml:space="preserve">Pourcentage de réduction d'émission de GES (Scope 1 et 2) </t>
  </si>
  <si>
    <t xml:space="preserve">ONE Alstom </t>
  </si>
  <si>
    <t xml:space="preserve">Nouvel environnement économique </t>
  </si>
  <si>
    <t xml:space="preserve">Objectif de marge d'exploitation ajusté </t>
  </si>
  <si>
    <t xml:space="preserve">Réduction consommation énergétique </t>
  </si>
  <si>
    <t xml:space="preserve">Engagement des collaborateurs </t>
  </si>
  <si>
    <t>Evolution performancce de l'action</t>
  </si>
  <si>
    <t>Olivier Andriès</t>
  </si>
  <si>
    <t xml:space="preserve">Résultat opérationnel courant </t>
  </si>
  <si>
    <t xml:space="preserve">Cash flow libre </t>
  </si>
  <si>
    <t xml:space="preserve">Besoin en fonds de roulement </t>
  </si>
  <si>
    <t xml:space="preserve">Relations avec avionneurs </t>
  </si>
  <si>
    <t xml:space="preserve">Activités après-vente Leap </t>
  </si>
  <si>
    <t xml:space="preserve">Revue de portefeuille </t>
  </si>
  <si>
    <t xml:space="preserve">Digital/Cyber sécurité </t>
  </si>
  <si>
    <t xml:space="preserve">RSE&amp;RH </t>
  </si>
  <si>
    <t>Frédéric Oudéa</t>
  </si>
  <si>
    <t>ROTE</t>
  </si>
  <si>
    <t xml:space="preserve">Ratio CET </t>
  </si>
  <si>
    <t>Coef d'exploitation</t>
  </si>
  <si>
    <t>Collectifs RSE</t>
  </si>
  <si>
    <t xml:space="preserve">Périmetres de responsabilité </t>
  </si>
  <si>
    <t>Christel Heydemann</t>
  </si>
  <si>
    <t>Qualité du service B2C et B2B</t>
  </si>
  <si>
    <t xml:space="preserve">Cash flow organique </t>
  </si>
  <si>
    <t xml:space="preserve">Taux d'électricité renouvelable </t>
  </si>
  <si>
    <t>Patrice Caine</t>
  </si>
  <si>
    <t>Thales</t>
  </si>
  <si>
    <t xml:space="preserve">Prise de commandes </t>
  </si>
  <si>
    <t>Free cash flow opérationnel</t>
  </si>
  <si>
    <t xml:space="preserve">Actions opérationnelles trasnverses et gestion de crise </t>
  </si>
  <si>
    <t>Talents et ressources humaines</t>
  </si>
  <si>
    <t>Diversité et inclusion</t>
  </si>
  <si>
    <t xml:space="preserve">Déploiement de la politique bas-carbone </t>
  </si>
  <si>
    <t xml:space="preserve">Santé et sécurité </t>
  </si>
  <si>
    <t>Poursuivre le renforcement des programmes Conformité</t>
  </si>
  <si>
    <t xml:space="preserve">Croissance organique chiffre d'affaires </t>
  </si>
  <si>
    <t>TSR 1</t>
  </si>
  <si>
    <t>TSR 2</t>
  </si>
  <si>
    <t xml:space="preserve">Réduction des émissions de CO2 </t>
  </si>
  <si>
    <t>Jean Marie Tritant</t>
  </si>
  <si>
    <t>Poids financier dans la rémunération variable</t>
  </si>
  <si>
    <t>Catherine MacGregor</t>
  </si>
  <si>
    <t>ENGIE</t>
  </si>
  <si>
    <t>RNRpg</t>
  </si>
  <si>
    <t>Dette économique économique</t>
  </si>
  <si>
    <t xml:space="preserve">Organisation et engagement </t>
  </si>
  <si>
    <t>Efficacité de la mise en œuvre de la stratégie</t>
  </si>
  <si>
    <t xml:space="preserve">Performance de sécurité </t>
  </si>
  <si>
    <t>Emissions de CO2</t>
  </si>
  <si>
    <t>Taux de féminisation des managers recrutés</t>
  </si>
  <si>
    <t>Amélioration du rating ESG du Groupe</t>
  </si>
  <si>
    <t>Augmentation part des capacités renouvelables</t>
  </si>
  <si>
    <t>Augmentation proportion de femmes dans le management</t>
  </si>
  <si>
    <t xml:space="preserve">Emission de GES </t>
  </si>
  <si>
    <t>Stock Options</t>
  </si>
  <si>
    <t>RNRPAA</t>
  </si>
  <si>
    <t>Dette nette</t>
  </si>
  <si>
    <t>Collecte des loyers</t>
  </si>
  <si>
    <t xml:space="preserve">Charges administratives </t>
  </si>
  <si>
    <t>Réduction des émissions d'équivalents de GES</t>
  </si>
  <si>
    <t xml:space="preserve">Nouvelle stratégie du Groupe </t>
  </si>
  <si>
    <t xml:space="preserve">Relations avec les parties prenantes </t>
  </si>
  <si>
    <t>Réorganisation</t>
  </si>
  <si>
    <t>Leadership</t>
  </si>
  <si>
    <t xml:space="preserve">TSR absolu </t>
  </si>
  <si>
    <t>Parité H/F au sein de la Direction</t>
  </si>
  <si>
    <t>Emission de GES</t>
  </si>
  <si>
    <t>Philippe Brassac</t>
  </si>
  <si>
    <t xml:space="preserve">Dynamique collective </t>
  </si>
  <si>
    <t xml:space="preserve">Projet client </t>
  </si>
  <si>
    <t>Transformation technologique et digitale</t>
  </si>
  <si>
    <t xml:space="preserve">Maitrise des risques et conformité </t>
  </si>
  <si>
    <t xml:space="preserve">Projet humain, responsabilité en proximité </t>
  </si>
  <si>
    <t xml:space="preserve">Projet sociétal, engagement vis-à-vis de la société </t>
  </si>
  <si>
    <t>Gilles Martin</t>
  </si>
  <si>
    <t>TOTAL</t>
  </si>
  <si>
    <t>average_CEO_total_remuneration</t>
  </si>
  <si>
    <t>average_Fixed</t>
  </si>
  <si>
    <t>average_variable</t>
  </si>
  <si>
    <t>average_Bonus</t>
  </si>
  <si>
    <t>CAC 40</t>
  </si>
  <si>
    <t>Moyenne</t>
  </si>
  <si>
    <t>2022</t>
  </si>
  <si>
    <t>Total</t>
  </si>
  <si>
    <t xml:space="preserve">CAC40 </t>
  </si>
  <si>
    <t>annee</t>
  </si>
  <si>
    <t>libelle_regroupement</t>
  </si>
  <si>
    <t>nom_entreprise</t>
  </si>
  <si>
    <t>Personnel Expenses (RO)</t>
  </si>
  <si>
    <t>Personnel Expenses/Number Of Employees (RO)</t>
  </si>
  <si>
    <t>CEO Remuneration Total Proxinvest (RO)</t>
  </si>
  <si>
    <t>CEO remuneration - fixed (RO)</t>
  </si>
  <si>
    <t>CEO remuneration - options (RO)</t>
  </si>
  <si>
    <t>CEO remuneration - other (RO)</t>
  </si>
  <si>
    <t>CEO remuneration - shares (RO)</t>
  </si>
  <si>
    <t>CEO remuneration - variable annual (RO)</t>
  </si>
  <si>
    <t>CEO remuneration - variable pluriannual (RO)</t>
  </si>
  <si>
    <t>Income taxes (RO)</t>
  </si>
  <si>
    <t>Net Profit (part of the group) (RO)</t>
  </si>
  <si>
    <t>Total Deprec., Amort. &amp; Depletion (RO)</t>
  </si>
  <si>
    <t>Number Of Employees (RO)</t>
  </si>
  <si>
    <t>CAC40 en 2021</t>
  </si>
  <si>
    <t>ArcelorMittal</t>
  </si>
  <si>
    <t>Dassault Systemes</t>
  </si>
  <si>
    <t>EssilorLuxottica</t>
  </si>
  <si>
    <t>Hermès International</t>
  </si>
  <si>
    <t>Publicis Groupe</t>
  </si>
  <si>
    <t>Veolia Environnement</t>
  </si>
  <si>
    <t>Wordline</t>
  </si>
  <si>
    <t>CEO-to-average remuneration</t>
  </si>
  <si>
    <t>Societé Générale</t>
  </si>
  <si>
    <t xml:space="preserve">Moyenne </t>
  </si>
  <si>
    <t xml:space="preserve">TOTAL </t>
  </si>
  <si>
    <t xml:space="preserve">poursuite élévation de la marque Dior </t>
  </si>
  <si>
    <t>link _source_ Dividends+Buybacks</t>
  </si>
  <si>
    <t>https://www.vernimmen.net/Lire/Lettre_Vernimmen/Lettre_204.html</t>
  </si>
  <si>
    <t>currency</t>
  </si>
  <si>
    <t>euros (€)</t>
  </si>
  <si>
    <t>Aiman Ezzat</t>
  </si>
  <si>
    <t>Francesco Milleri</t>
  </si>
  <si>
    <t>Jean-Marc  Chery</t>
  </si>
  <si>
    <t xml:space="preserve">La rémunération totale correspond à la somme des rémunérations de Benoit Potier et François Jackow pour l'année 2022. </t>
  </si>
  <si>
    <t>Benoit Potier</t>
  </si>
  <si>
    <t>François Jackow</t>
  </si>
  <si>
    <t xml:space="preserve">Poids climatique dans la rémunération variable </t>
  </si>
  <si>
    <t>Poids climatique dans rémunération totale</t>
  </si>
  <si>
    <t>Détail du calcul</t>
  </si>
  <si>
    <t>Pour non-financier : objectif climat ?</t>
  </si>
  <si>
    <t>Progression du benefice net récurrent par action</t>
  </si>
  <si>
    <t xml:space="preserve">Climat </t>
  </si>
  <si>
    <t xml:space="preserve">ESG and Ethics and Compliance </t>
  </si>
  <si>
    <t>Ct</t>
  </si>
  <si>
    <t>Relations clients</t>
  </si>
  <si>
    <t>Critère RSE 1 - positionnement dans les classements des agences de notation extra-financière</t>
  </si>
  <si>
    <t>Critère RSE 2A - Atteinte des objectifs RSE fixés dans le cadre du plan de fidélisation arrivé à échéance durant l'année (hors objectifs climatiques - cf Critères RSE 2B)</t>
  </si>
  <si>
    <t>Critère RSE 2B - Objectifs climatiques - Atteinte des objectifs RSE fixés dans le cadre du plan de fidélisation arrivé à échéance durant l'année</t>
  </si>
  <si>
    <t>Critère RSE 3 - Appréciation qualitative des réalisations RSE</t>
  </si>
  <si>
    <t>ROCE</t>
  </si>
  <si>
    <t>Actions de performance 1</t>
  </si>
  <si>
    <t>Actions de performance 2 (LTI 22 -24)</t>
  </si>
  <si>
    <t>Critère RSE  n'est que partiellement "climatique"</t>
  </si>
  <si>
    <t>Critère RSE partiellemment climatique</t>
  </si>
  <si>
    <t>résultat opérationnel courant</t>
  </si>
  <si>
    <t>RNPG sous-jacent</t>
  </si>
  <si>
    <t>Retour sur fonds propres tangibles</t>
  </si>
  <si>
    <t>Coefficient d'exploitation hors FRU</t>
  </si>
  <si>
    <t xml:space="preserve"> RNPG sous-jacent</t>
  </si>
  <si>
    <t>Performance relative de l’action Crédit Agricole S.A. par rapport à un indice composite de banques européennes (Euro Stoxx Banks)</t>
  </si>
  <si>
    <t xml:space="preserve">Indice Fred </t>
  </si>
  <si>
    <t>Au sein du critère RSE la part attribuée au climat n'est pas précisée. Puisqu'il y a 4 critères nous avons attribué un quart de la rémunération à "objectif climat"</t>
  </si>
  <si>
    <t>Essilor Luxottica</t>
  </si>
  <si>
    <t>Croissance organique du chiffre d'affaires 2022</t>
  </si>
  <si>
    <t xml:space="preserve">Performance du cours de bourse </t>
  </si>
  <si>
    <t>Critères Développement Digital</t>
  </si>
  <si>
    <t>Le critère 6 de la rémunération variable n'est que partiellement climatique</t>
  </si>
  <si>
    <t>Pas d'informations sur le contenu du critère 2 des Actions de performance</t>
  </si>
  <si>
    <t>Performance sociale</t>
  </si>
  <si>
    <t>CO2 par usage client</t>
  </si>
  <si>
    <t>Commentaire de l'entreprise</t>
  </si>
  <si>
    <t>"la qualité du service est mesurée par un tiers indépendant à l'aide de réponses à un questionnaire adressé à un pannel de clients en Europe (100 000 clients) et en Afrique, sur la base d'un questionnement : "recommenderiez-vous Orange..."
la performance sociale est également mesurée par un indice composite de données quantitatives, pour 25% le taux d'accès à la formation, pour 25% le taux de féminisation des réseaux de management, pour 50% le baromètre salarié réalisé par un prestataire indépendant sur la base d'un sondage salarié"</t>
  </si>
  <si>
    <t>Le poids de nos critères pour la rémunération variable annuelle est exprimé par rapport au variable cible qui correspond à 110% de la rémunération fixe. Afin d'exprimer les parts de financier, non financier etc. comme vous souhaitez le faire ici, nous avons modifié la formule pour exprimer les poids sur une base 100</t>
  </si>
  <si>
    <t xml:space="preserve">Recurring Free Cash flow </t>
  </si>
  <si>
    <t xml:space="preserve">Maintenir le ratio marge brute au travers du Revenu Growth Management </t>
  </si>
  <si>
    <t xml:space="preserve">Seconde phase du plan stratégique Transform &amp; Accelerate </t>
  </si>
  <si>
    <t>Faire preuve de leadership grâce au déploiement de la Raison d'être du Groupe</t>
  </si>
  <si>
    <t>Objectif RSE mesuré sur 3 ans. Contenant 1/4 d'obj carbone = climat</t>
  </si>
  <si>
    <t xml:space="preserve">Rémunération Variable </t>
  </si>
  <si>
    <t xml:space="preserve">Taux de croissance organique du Groupe </t>
  </si>
  <si>
    <t>Le critère RSE&amp;RH comprend 4 composantes, la partie climat a donc été considéré comme correspondant à 25% du critère</t>
  </si>
  <si>
    <t>Environnement et climat</t>
  </si>
  <si>
    <t>OUI</t>
  </si>
  <si>
    <t>Egalité femme/homme</t>
  </si>
  <si>
    <t>Sécurité</t>
  </si>
  <si>
    <t>Concernant le Critère 7 de la rémunération variable, puis qu'au sein de l'objectif RSE, le climat est parmi 5 autres critères, nous avons considéré que la rémunération climatique est un cinquième du critère RSE</t>
  </si>
  <si>
    <t>Concernant le critère 3 des Actions de performancce, puis qu'au sein de l'objectif RSE, le climat est parmi 3 autres critères, nous avons considéré que la rémunération climatique est un tiers du critère RSE</t>
  </si>
  <si>
    <t xml:space="preserve">La partie climatique correspond à un quart de la rémunération "Collectifs RSE" </t>
  </si>
  <si>
    <t xml:space="preserve">Sustainability // CSR index </t>
  </si>
  <si>
    <t>Rentabilité ROCE</t>
  </si>
  <si>
    <t>Part en actions de performance dans la rémunération totale</t>
  </si>
  <si>
    <t>Part des autres composantes dans la rémunération totale</t>
  </si>
  <si>
    <t>Part variable dans la rémunération totale</t>
  </si>
  <si>
    <t>Part fixe dans la rémunération totale</t>
  </si>
  <si>
    <t>Part de la valeur actionnariale dans la rémunération variable (%)</t>
  </si>
  <si>
    <t>Poids non financier dans la rémunération variable (%)</t>
  </si>
  <si>
    <t>Part non financière mesurable dans la rémunération totale (%)</t>
  </si>
  <si>
    <t>Part non financière mesurable dans la rémunération variable (%)</t>
  </si>
  <si>
    <t>CEO_remuneration_fixe</t>
  </si>
  <si>
    <t>CEO_remuneration_variable</t>
  </si>
  <si>
    <t>CEO_remuneration_bonus</t>
  </si>
  <si>
    <t>CEO_remuneration_shares</t>
  </si>
  <si>
    <t>CEO_remuneration_other</t>
  </si>
  <si>
    <t>CEO_remuneration_retirement</t>
  </si>
  <si>
    <t>taux de change : 0,933. Source INSEE</t>
  </si>
  <si>
    <t>payout_ratio (dividends + buybacks / net profit)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</si>
</sst>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\ &quot;€&quot;"/>
    <numFmt numFmtId="166" formatCode="#,##0.00\ &quot;€&quot;"/>
    <numFmt numFmtId="167" formatCode="_-[$$-409]* #,##0.00_ ;_-[$$-409]* \-#,##0.00\ ;_-[$$-409]* &quot;-&quot;??_ ;_-@_ "/>
    <numFmt numFmtId="168" formatCode="_-* #,##0.00\ [$€-40C]_-;\-* #,##0.00\ [$€-40C]_-;_-* &quot;-&quot;??\ [$€-40C]_-;_-@_-"/>
    <numFmt numFmtId="169" formatCode="_-* #,##0.00\ _€_-;\-* #,##0.00\ _€_-;_-* &quot;-&quot;??\ _€_-;_-@_-"/>
    <numFmt numFmtId="170" formatCode="_-* #,##0_-;\-* #,##0_-;_-* &quot;-&quot;??_-;_-@_-"/>
    <numFmt numFmtId="171" formatCode="_-* #,##0\ &quot;€&quot;_-;\-* #,##0\ &quot;€&quot;_-;_-* &quot;-&quot;??\ &quot;€&quot;_-;_-@_-"/>
    <numFmt numFmtId="172" formatCode="#,##0.0\ &quot;€&quot;"/>
    <numFmt numFmtId="173" formatCode="0.00000"/>
    <numFmt numFmtId="174" formatCode="#,##0.000\ &quot;€&quot;"/>
    <numFmt numFmtId="175" formatCode="0.000%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trike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name val="Calibri"/>
      <family val="2"/>
    </font>
    <font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rgb="FF5B9BD5"/>
      </patternFill>
    </fill>
  </fills>
  <borders count="3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double">
        <color theme="4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/>
    <xf numFmtId="44" fontId="6" fillId="0" borderId="0" applyFont="0" applyFill="0" applyBorder="0" applyAlignment="0" applyProtection="0"/>
  </cellStyleXfs>
  <cellXfs count="404">
    <xf numFmtId="0" fontId="0" fillId="0" borderId="0" xfId="0"/>
    <xf numFmtId="0" fontId="0" fillId="2" borderId="0" xfId="0" applyFill="1"/>
    <xf numFmtId="0" fontId="0" fillId="0" borderId="0" xfId="0" applyNumberForma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/>
    <xf numFmtId="0" fontId="5" fillId="0" borderId="7" xfId="0" applyFont="1" applyBorder="1"/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/>
    <xf numFmtId="164" fontId="5" fillId="0" borderId="9" xfId="0" applyNumberFormat="1" applyFont="1" applyBorder="1"/>
    <xf numFmtId="164" fontId="5" fillId="0" borderId="8" xfId="0" applyNumberFormat="1" applyFont="1" applyBorder="1"/>
    <xf numFmtId="0" fontId="5" fillId="0" borderId="7" xfId="0" applyFont="1" applyBorder="1" applyAlignment="1">
      <alignment wrapText="1"/>
    </xf>
    <xf numFmtId="0" fontId="5" fillId="0" borderId="9" xfId="0" applyFont="1" applyBorder="1"/>
    <xf numFmtId="0" fontId="5" fillId="0" borderId="10" xfId="0" applyFont="1" applyBorder="1"/>
    <xf numFmtId="164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/>
    <xf numFmtId="164" fontId="5" fillId="0" borderId="12" xfId="0" applyNumberFormat="1" applyFont="1" applyBorder="1"/>
    <xf numFmtId="0" fontId="5" fillId="0" borderId="13" xfId="0" applyFont="1" applyBorder="1" applyAlignment="1">
      <alignment wrapText="1"/>
    </xf>
    <xf numFmtId="164" fontId="5" fillId="0" borderId="14" xfId="0" applyNumberFormat="1" applyFont="1" applyBorder="1" applyAlignment="1">
      <alignment horizontal="center"/>
    </xf>
    <xf numFmtId="164" fontId="5" fillId="0" borderId="14" xfId="0" applyNumberFormat="1" applyFont="1" applyBorder="1"/>
    <xf numFmtId="164" fontId="5" fillId="0" borderId="15" xfId="0" applyNumberFormat="1" applyFont="1" applyBorder="1"/>
    <xf numFmtId="0" fontId="5" fillId="0" borderId="16" xfId="0" applyFont="1" applyBorder="1"/>
    <xf numFmtId="0" fontId="5" fillId="0" borderId="17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9" xfId="0" applyNumberFormat="1" applyFont="1" applyBorder="1"/>
    <xf numFmtId="0" fontId="0" fillId="0" borderId="0" xfId="0" applyFont="1" applyAlignment="1"/>
    <xf numFmtId="0" fontId="5" fillId="0" borderId="0" xfId="0" applyFont="1" applyAlignment="1">
      <alignment horizontal="center"/>
    </xf>
    <xf numFmtId="10" fontId="5" fillId="0" borderId="11" xfId="0" applyNumberFormat="1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Border="1" applyAlignment="1"/>
    <xf numFmtId="0" fontId="5" fillId="0" borderId="12" xfId="0" applyFont="1" applyBorder="1"/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9" fontId="5" fillId="0" borderId="11" xfId="0" applyNumberFormat="1" applyFont="1" applyBorder="1" applyAlignment="1">
      <alignment horizontal="center"/>
    </xf>
    <xf numFmtId="0" fontId="5" fillId="0" borderId="7" xfId="0" applyFont="1" applyBorder="1" applyAlignment="1"/>
    <xf numFmtId="9" fontId="5" fillId="0" borderId="8" xfId="0" applyNumberFormat="1" applyFont="1" applyBorder="1" applyAlignment="1">
      <alignment horizontal="center"/>
    </xf>
    <xf numFmtId="0" fontId="5" fillId="0" borderId="10" xfId="0" applyFont="1" applyBorder="1" applyAlignment="1"/>
    <xf numFmtId="0" fontId="5" fillId="0" borderId="20" xfId="0" applyFont="1" applyBorder="1" applyAlignment="1"/>
    <xf numFmtId="9" fontId="5" fillId="0" borderId="20" xfId="0" applyNumberFormat="1" applyFont="1" applyBorder="1" applyAlignment="1">
      <alignment horizontal="right"/>
    </xf>
    <xf numFmtId="0" fontId="5" fillId="0" borderId="0" xfId="0" applyFont="1" applyAlignment="1"/>
    <xf numFmtId="9" fontId="5" fillId="0" borderId="0" xfId="0" applyNumberFormat="1" applyFont="1" applyAlignment="1"/>
    <xf numFmtId="0" fontId="7" fillId="4" borderId="1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165" fontId="9" fillId="5" borderId="25" xfId="0" applyNumberFormat="1" applyFont="1" applyFill="1" applyBorder="1" applyAlignment="1">
      <alignment horizontal="center" vertical="center" wrapText="1"/>
    </xf>
    <xf numFmtId="165" fontId="5" fillId="5" borderId="23" xfId="0" applyNumberFormat="1" applyFont="1" applyFill="1" applyBorder="1" applyAlignment="1">
      <alignment horizontal="center" vertical="center" wrapText="1"/>
    </xf>
    <xf numFmtId="166" fontId="5" fillId="5" borderId="23" xfId="0" applyNumberFormat="1" applyFont="1" applyFill="1" applyBorder="1" applyAlignment="1">
      <alignment horizontal="center" vertical="center" wrapText="1"/>
    </xf>
    <xf numFmtId="165" fontId="5" fillId="5" borderId="24" xfId="0" applyNumberFormat="1" applyFont="1" applyFill="1" applyBorder="1" applyAlignment="1">
      <alignment horizontal="center" vertical="center" wrapText="1"/>
    </xf>
    <xf numFmtId="9" fontId="5" fillId="5" borderId="26" xfId="2" applyFont="1" applyFill="1" applyBorder="1" applyAlignment="1">
      <alignment horizontal="center" vertical="center" wrapText="1"/>
    </xf>
    <xf numFmtId="9" fontId="5" fillId="5" borderId="25" xfId="2" applyFont="1" applyFill="1" applyBorder="1" applyAlignment="1">
      <alignment horizontal="center" vertical="center" wrapText="1"/>
    </xf>
    <xf numFmtId="10" fontId="5" fillId="5" borderId="24" xfId="0" applyNumberFormat="1" applyFont="1" applyFill="1" applyBorder="1" applyAlignment="1">
      <alignment horizontal="center" vertical="center" wrapText="1"/>
    </xf>
    <xf numFmtId="9" fontId="0" fillId="6" borderId="25" xfId="2" applyFont="1" applyFill="1" applyBorder="1" applyAlignment="1">
      <alignment horizontal="center" vertical="center"/>
    </xf>
    <xf numFmtId="10" fontId="5" fillId="5" borderId="2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9" fontId="5" fillId="0" borderId="0" xfId="0" applyNumberFormat="1" applyFont="1" applyBorder="1" applyAlignment="1">
      <alignment horizontal="right"/>
    </xf>
    <xf numFmtId="0" fontId="5" fillId="0" borderId="0" xfId="0" applyFont="1" applyBorder="1" applyAlignment="1"/>
    <xf numFmtId="9" fontId="5" fillId="0" borderId="18" xfId="2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10" fontId="5" fillId="0" borderId="20" xfId="0" applyNumberFormat="1" applyFont="1" applyBorder="1" applyAlignment="1">
      <alignment horizontal="right"/>
    </xf>
    <xf numFmtId="9" fontId="5" fillId="0" borderId="20" xfId="2" applyFont="1" applyBorder="1" applyAlignment="1">
      <alignment horizontal="right"/>
    </xf>
    <xf numFmtId="0" fontId="4" fillId="3" borderId="27" xfId="0" applyFont="1" applyFill="1" applyBorder="1"/>
    <xf numFmtId="164" fontId="5" fillId="0" borderId="11" xfId="0" applyNumberFormat="1" applyFont="1" applyBorder="1" applyAlignment="1">
      <alignment horizontal="left"/>
    </xf>
    <xf numFmtId="9" fontId="7" fillId="0" borderId="25" xfId="0" applyNumberFormat="1" applyFont="1" applyBorder="1" applyAlignment="1">
      <alignment horizontal="right"/>
    </xf>
    <xf numFmtId="0" fontId="0" fillId="0" borderId="25" xfId="0" applyFont="1" applyBorder="1" applyAlignment="1"/>
    <xf numFmtId="0" fontId="5" fillId="0" borderId="11" xfId="0" applyFont="1" applyBorder="1" applyAlignment="1">
      <alignment horizontal="left"/>
    </xf>
    <xf numFmtId="9" fontId="5" fillId="0" borderId="11" xfId="2" applyFont="1" applyBorder="1"/>
    <xf numFmtId="164" fontId="5" fillId="0" borderId="0" xfId="0" applyNumberFormat="1" applyFont="1" applyFill="1" applyBorder="1" applyAlignment="1">
      <alignment horizontal="left"/>
    </xf>
    <xf numFmtId="9" fontId="5" fillId="0" borderId="11" xfId="2" applyFont="1" applyBorder="1" applyAlignment="1">
      <alignment horizontal="center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166" fontId="5" fillId="5" borderId="28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wrapText="1"/>
    </xf>
    <xf numFmtId="165" fontId="0" fillId="0" borderId="0" xfId="0" applyNumberFormat="1"/>
    <xf numFmtId="167" fontId="5" fillId="5" borderId="28" xfId="0" applyNumberFormat="1" applyFont="1" applyFill="1" applyBorder="1" applyAlignment="1">
      <alignment horizontal="center" vertical="center" wrapText="1"/>
    </xf>
    <xf numFmtId="167" fontId="9" fillId="5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9" fontId="5" fillId="0" borderId="8" xfId="2" applyFont="1" applyBorder="1"/>
    <xf numFmtId="9" fontId="5" fillId="0" borderId="11" xfId="0" applyNumberFormat="1" applyFont="1" applyBorder="1"/>
    <xf numFmtId="164" fontId="5" fillId="0" borderId="11" xfId="0" applyNumberFormat="1" applyFont="1" applyBorder="1" applyAlignment="1"/>
    <xf numFmtId="0" fontId="5" fillId="0" borderId="20" xfId="2" applyNumberFormat="1" applyFont="1" applyBorder="1" applyAlignment="1">
      <alignment horizontal="right"/>
    </xf>
    <xf numFmtId="9" fontId="5" fillId="0" borderId="18" xfId="2" applyFont="1" applyBorder="1" applyAlignment="1">
      <alignment horizontal="center" vertical="center"/>
    </xf>
    <xf numFmtId="9" fontId="5" fillId="5" borderId="24" xfId="2" applyFont="1" applyFill="1" applyBorder="1" applyAlignment="1">
      <alignment horizontal="center" vertical="center" wrapText="1"/>
    </xf>
    <xf numFmtId="164" fontId="5" fillId="0" borderId="30" xfId="0" applyNumberFormat="1" applyFont="1" applyFill="1" applyBorder="1"/>
    <xf numFmtId="9" fontId="0" fillId="0" borderId="0" xfId="0" applyNumberFormat="1"/>
    <xf numFmtId="10" fontId="0" fillId="0" borderId="0" xfId="0" applyNumberFormat="1"/>
    <xf numFmtId="166" fontId="0" fillId="0" borderId="0" xfId="0" applyNumberFormat="1"/>
    <xf numFmtId="166" fontId="5" fillId="0" borderId="0" xfId="0" applyNumberFormat="1" applyFont="1"/>
    <xf numFmtId="9" fontId="5" fillId="0" borderId="20" xfId="2" applyNumberFormat="1" applyFont="1" applyBorder="1" applyAlignment="1">
      <alignment horizontal="right"/>
    </xf>
    <xf numFmtId="9" fontId="5" fillId="0" borderId="25" xfId="0" applyNumberFormat="1" applyFont="1" applyBorder="1" applyAlignment="1">
      <alignment horizontal="left"/>
    </xf>
    <xf numFmtId="0" fontId="0" fillId="0" borderId="0" xfId="0" applyBorder="1"/>
    <xf numFmtId="9" fontId="0" fillId="0" borderId="0" xfId="2" applyFont="1"/>
    <xf numFmtId="9" fontId="5" fillId="0" borderId="0" xfId="0" applyNumberFormat="1" applyFont="1" applyAlignment="1">
      <alignment wrapText="1"/>
    </xf>
    <xf numFmtId="0" fontId="11" fillId="0" borderId="25" xfId="0" applyFont="1" applyBorder="1" applyAlignment="1">
      <alignment horizontal="center" vertical="top" wrapText="1"/>
    </xf>
    <xf numFmtId="169" fontId="0" fillId="0" borderId="0" xfId="0" applyNumberFormat="1"/>
    <xf numFmtId="0" fontId="10" fillId="0" borderId="0" xfId="0" applyFont="1" applyAlignment="1"/>
    <xf numFmtId="0" fontId="5" fillId="5" borderId="1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5" borderId="21" xfId="0" applyNumberFormat="1" applyFont="1" applyFill="1" applyBorder="1" applyAlignment="1">
      <alignment horizontal="center" vertical="center" wrapText="1"/>
    </xf>
    <xf numFmtId="166" fontId="5" fillId="5" borderId="2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165" fontId="7" fillId="5" borderId="0" xfId="0" applyNumberFormat="1" applyFont="1" applyFill="1" applyAlignment="1">
      <alignment horizontal="center" vertical="center" wrapText="1"/>
    </xf>
    <xf numFmtId="166" fontId="7" fillId="5" borderId="0" xfId="0" applyNumberFormat="1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10" fontId="16" fillId="5" borderId="23" xfId="0" applyNumberFormat="1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7" fillId="5" borderId="28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165" fontId="16" fillId="5" borderId="13" xfId="0" applyNumberFormat="1" applyFont="1" applyFill="1" applyBorder="1" applyAlignment="1">
      <alignment horizontal="center" vertical="center" wrapText="1"/>
    </xf>
    <xf numFmtId="165" fontId="16" fillId="5" borderId="28" xfId="0" applyNumberFormat="1" applyFont="1" applyFill="1" applyBorder="1" applyAlignment="1">
      <alignment horizontal="center" vertical="center" wrapText="1"/>
    </xf>
    <xf numFmtId="166" fontId="16" fillId="5" borderId="28" xfId="0" applyNumberFormat="1" applyFont="1" applyFill="1" applyBorder="1" applyAlignment="1">
      <alignment horizontal="center" vertical="center" wrapText="1"/>
    </xf>
    <xf numFmtId="10" fontId="16" fillId="5" borderId="0" xfId="0" applyNumberFormat="1" applyFont="1" applyFill="1" applyBorder="1" applyAlignment="1">
      <alignment horizontal="center" vertical="center" wrapText="1"/>
    </xf>
    <xf numFmtId="10" fontId="16" fillId="5" borderId="28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4" xfId="0" applyFont="1" applyBorder="1" applyAlignment="1">
      <alignment horizontal="center" wrapText="1"/>
    </xf>
    <xf numFmtId="0" fontId="16" fillId="0" borderId="4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6" xfId="0" applyFont="1" applyBorder="1"/>
    <xf numFmtId="0" fontId="16" fillId="0" borderId="11" xfId="0" applyFont="1" applyBorder="1" applyAlignment="1"/>
    <xf numFmtId="9" fontId="16" fillId="0" borderId="8" xfId="0" applyNumberFormat="1" applyFont="1" applyBorder="1"/>
    <xf numFmtId="164" fontId="16" fillId="0" borderId="14" xfId="0" applyNumberFormat="1" applyFont="1" applyBorder="1"/>
    <xf numFmtId="0" fontId="16" fillId="0" borderId="8" xfId="0" applyFont="1" applyBorder="1"/>
    <xf numFmtId="0" fontId="16" fillId="0" borderId="8" xfId="0" applyFont="1" applyBorder="1" applyAlignment="1"/>
    <xf numFmtId="0" fontId="16" fillId="0" borderId="20" xfId="0" applyFont="1" applyBorder="1"/>
    <xf numFmtId="9" fontId="16" fillId="0" borderId="20" xfId="0" applyNumberFormat="1" applyFont="1" applyBorder="1" applyAlignment="1">
      <alignment horizontal="right"/>
    </xf>
    <xf numFmtId="164" fontId="16" fillId="0" borderId="11" xfId="0" applyNumberFormat="1" applyFont="1" applyBorder="1"/>
    <xf numFmtId="164" fontId="16" fillId="0" borderId="8" xfId="0" applyNumberFormat="1" applyFont="1" applyBorder="1"/>
    <xf numFmtId="0" fontId="16" fillId="0" borderId="6" xfId="0" applyFont="1" applyBorder="1" applyAlignment="1"/>
    <xf numFmtId="164" fontId="16" fillId="0" borderId="12" xfId="0" applyNumberFormat="1" applyFont="1" applyBorder="1"/>
    <xf numFmtId="9" fontId="16" fillId="0" borderId="11" xfId="0" applyNumberFormat="1" applyFont="1" applyBorder="1"/>
    <xf numFmtId="0" fontId="16" fillId="0" borderId="0" xfId="0" applyFont="1"/>
    <xf numFmtId="164" fontId="16" fillId="0" borderId="15" xfId="0" applyNumberFormat="1" applyFont="1" applyBorder="1"/>
    <xf numFmtId="0" fontId="16" fillId="0" borderId="16" xfId="0" applyFont="1" applyBorder="1"/>
    <xf numFmtId="0" fontId="16" fillId="0" borderId="17" xfId="0" applyFont="1" applyBorder="1"/>
    <xf numFmtId="164" fontId="16" fillId="0" borderId="18" xfId="0" applyNumberFormat="1" applyFont="1" applyBorder="1"/>
    <xf numFmtId="164" fontId="16" fillId="0" borderId="19" xfId="0" applyNumberFormat="1" applyFont="1" applyBorder="1"/>
    <xf numFmtId="0" fontId="16" fillId="0" borderId="0" xfId="0" applyFont="1" applyAlignment="1">
      <alignment horizontal="center"/>
    </xf>
    <xf numFmtId="0" fontId="16" fillId="0" borderId="10" xfId="0" applyFont="1" applyBorder="1"/>
    <xf numFmtId="9" fontId="16" fillId="0" borderId="11" xfId="0" applyNumberFormat="1" applyFont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/>
    <xf numFmtId="0" fontId="16" fillId="0" borderId="18" xfId="0" applyFont="1" applyBorder="1"/>
    <xf numFmtId="0" fontId="16" fillId="0" borderId="19" xfId="0" applyFont="1" applyBorder="1"/>
    <xf numFmtId="9" fontId="16" fillId="0" borderId="0" xfId="0" applyNumberFormat="1" applyFont="1" applyAlignment="1">
      <alignment horizontal="right"/>
    </xf>
    <xf numFmtId="0" fontId="16" fillId="0" borderId="20" xfId="0" applyNumberFormat="1" applyFont="1" applyBorder="1" applyAlignment="1">
      <alignment horizontal="right"/>
    </xf>
    <xf numFmtId="165" fontId="5" fillId="5" borderId="28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Alignment="1">
      <alignment horizontal="right"/>
    </xf>
    <xf numFmtId="9" fontId="18" fillId="0" borderId="0" xfId="0" applyNumberFormat="1" applyFont="1" applyFill="1" applyBorder="1" applyAlignment="1">
      <alignment horizontal="right"/>
    </xf>
    <xf numFmtId="0" fontId="18" fillId="0" borderId="16" xfId="0" applyFont="1" applyFill="1" applyBorder="1"/>
    <xf numFmtId="0" fontId="18" fillId="0" borderId="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0" borderId="4" xfId="0" applyFont="1" applyFill="1" applyBorder="1" applyAlignment="1">
      <alignment horizontal="center" wrapText="1"/>
    </xf>
    <xf numFmtId="0" fontId="18" fillId="0" borderId="4" xfId="0" applyFont="1" applyFill="1" applyBorder="1" applyAlignment="1">
      <alignment wrapText="1"/>
    </xf>
    <xf numFmtId="0" fontId="18" fillId="0" borderId="5" xfId="0" applyFont="1" applyFill="1" applyBorder="1" applyAlignment="1">
      <alignment wrapText="1"/>
    </xf>
    <xf numFmtId="0" fontId="18" fillId="0" borderId="20" xfId="0" applyFont="1" applyFill="1" applyBorder="1"/>
    <xf numFmtId="0" fontId="18" fillId="0" borderId="6" xfId="0" applyFont="1" applyFill="1" applyBorder="1"/>
    <xf numFmtId="0" fontId="18" fillId="0" borderId="10" xfId="0" applyFont="1" applyFill="1" applyBorder="1"/>
    <xf numFmtId="9" fontId="18" fillId="0" borderId="11" xfId="2" applyFont="1" applyFill="1" applyBorder="1" applyAlignment="1">
      <alignment horizontal="center"/>
    </xf>
    <xf numFmtId="0" fontId="18" fillId="0" borderId="11" xfId="0" applyFont="1" applyFill="1" applyBorder="1"/>
    <xf numFmtId="0" fontId="18" fillId="0" borderId="12" xfId="0" applyFont="1" applyFill="1" applyBorder="1"/>
    <xf numFmtId="9" fontId="18" fillId="0" borderId="20" xfId="0" applyNumberFormat="1" applyFont="1" applyFill="1" applyBorder="1" applyAlignment="1">
      <alignment horizontal="right"/>
    </xf>
    <xf numFmtId="0" fontId="18" fillId="0" borderId="9" xfId="0" applyFont="1" applyFill="1" applyBorder="1"/>
    <xf numFmtId="0" fontId="18" fillId="0" borderId="18" xfId="0" applyFont="1" applyFill="1" applyBorder="1"/>
    <xf numFmtId="9" fontId="18" fillId="0" borderId="18" xfId="2" applyFont="1" applyFill="1" applyBorder="1" applyAlignment="1">
      <alignment horizontal="center"/>
    </xf>
    <xf numFmtId="0" fontId="18" fillId="0" borderId="19" xfId="0" applyFont="1" applyFill="1" applyBorder="1"/>
    <xf numFmtId="9" fontId="18" fillId="0" borderId="20" xfId="2" applyFont="1" applyFill="1" applyBorder="1" applyAlignment="1">
      <alignment horizontal="right"/>
    </xf>
    <xf numFmtId="171" fontId="5" fillId="0" borderId="0" xfId="5" applyNumberFormat="1" applyFont="1" applyFill="1" applyBorder="1"/>
    <xf numFmtId="10" fontId="18" fillId="0" borderId="23" xfId="0" applyNumberFormat="1" applyFont="1" applyFill="1" applyBorder="1" applyAlignment="1">
      <alignment horizontal="center" vertical="center" wrapText="1"/>
    </xf>
    <xf numFmtId="0" fontId="5" fillId="0" borderId="20" xfId="0" applyFont="1" applyBorder="1"/>
    <xf numFmtId="0" fontId="0" fillId="0" borderId="25" xfId="0" applyBorder="1"/>
    <xf numFmtId="9" fontId="5" fillId="0" borderId="0" xfId="0" applyNumberFormat="1" applyFont="1"/>
    <xf numFmtId="9" fontId="7" fillId="0" borderId="0" xfId="0" applyNumberFormat="1" applyFont="1" applyBorder="1" applyAlignment="1">
      <alignment horizontal="right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wrapText="1"/>
    </xf>
    <xf numFmtId="0" fontId="5" fillId="6" borderId="4" xfId="0" applyFont="1" applyFill="1" applyBorder="1" applyAlignment="1">
      <alignment wrapText="1"/>
    </xf>
    <xf numFmtId="0" fontId="5" fillId="6" borderId="5" xfId="0" applyFont="1" applyFill="1" applyBorder="1" applyAlignment="1">
      <alignment wrapText="1"/>
    </xf>
    <xf numFmtId="0" fontId="5" fillId="6" borderId="6" xfId="0" applyFont="1" applyFill="1" applyBorder="1"/>
    <xf numFmtId="0" fontId="0" fillId="6" borderId="25" xfId="0" applyFont="1" applyFill="1" applyBorder="1"/>
    <xf numFmtId="9" fontId="5" fillId="6" borderId="8" xfId="2" applyFont="1" applyFill="1" applyBorder="1"/>
    <xf numFmtId="164" fontId="5" fillId="6" borderId="14" xfId="0" applyNumberFormat="1" applyFont="1" applyFill="1" applyBorder="1"/>
    <xf numFmtId="0" fontId="5" fillId="6" borderId="8" xfId="0" applyFont="1" applyFill="1" applyBorder="1" applyAlignment="1"/>
    <xf numFmtId="164" fontId="5" fillId="6" borderId="9" xfId="0" applyNumberFormat="1" applyFont="1" applyFill="1" applyBorder="1"/>
    <xf numFmtId="164" fontId="5" fillId="6" borderId="8" xfId="0" applyNumberFormat="1" applyFont="1" applyFill="1" applyBorder="1"/>
    <xf numFmtId="164" fontId="5" fillId="6" borderId="25" xfId="0" applyNumberFormat="1" applyFont="1" applyFill="1" applyBorder="1"/>
    <xf numFmtId="0" fontId="5" fillId="6" borderId="8" xfId="0" applyFont="1" applyFill="1" applyBorder="1"/>
    <xf numFmtId="0" fontId="5" fillId="6" borderId="9" xfId="0" applyFont="1" applyFill="1" applyBorder="1"/>
    <xf numFmtId="164" fontId="5" fillId="6" borderId="11" xfId="0" applyNumberFormat="1" applyFont="1" applyFill="1" applyBorder="1"/>
    <xf numFmtId="0" fontId="0" fillId="6" borderId="0" xfId="0" applyFont="1" applyFill="1"/>
    <xf numFmtId="164" fontId="5" fillId="6" borderId="12" xfId="0" applyNumberFormat="1" applyFont="1" applyFill="1" applyBorder="1"/>
    <xf numFmtId="9" fontId="5" fillId="6" borderId="11" xfId="0" applyNumberFormat="1" applyFont="1" applyFill="1" applyBorder="1"/>
    <xf numFmtId="164" fontId="5" fillId="6" borderId="15" xfId="0" applyNumberFormat="1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164" fontId="5" fillId="6" borderId="18" xfId="0" applyNumberFormat="1" applyFont="1" applyFill="1" applyBorder="1"/>
    <xf numFmtId="164" fontId="5" fillId="6" borderId="19" xfId="0" applyNumberFormat="1" applyFont="1" applyFill="1" applyBorder="1"/>
    <xf numFmtId="0" fontId="0" fillId="6" borderId="0" xfId="0" applyFont="1" applyFill="1" applyAlignment="1"/>
    <xf numFmtId="0" fontId="5" fillId="6" borderId="0" xfId="0" applyFont="1" applyFill="1" applyAlignment="1">
      <alignment horizontal="center"/>
    </xf>
    <xf numFmtId="0" fontId="5" fillId="6" borderId="10" xfId="0" applyFont="1" applyFill="1" applyBorder="1" applyAlignment="1"/>
    <xf numFmtId="9" fontId="5" fillId="6" borderId="11" xfId="2" applyFont="1" applyFill="1" applyBorder="1" applyAlignment="1">
      <alignment horizontal="center"/>
    </xf>
    <xf numFmtId="0" fontId="5" fillId="6" borderId="11" xfId="0" applyFont="1" applyFill="1" applyBorder="1"/>
    <xf numFmtId="0" fontId="5" fillId="6" borderId="11" xfId="0" applyFont="1" applyFill="1" applyBorder="1" applyAlignment="1"/>
    <xf numFmtId="0" fontId="5" fillId="6" borderId="12" xfId="0" applyFont="1" applyFill="1" applyBorder="1"/>
    <xf numFmtId="0" fontId="5" fillId="6" borderId="10" xfId="0" applyFont="1" applyFill="1" applyBorder="1"/>
    <xf numFmtId="9" fontId="5" fillId="6" borderId="18" xfId="2" applyFont="1" applyFill="1" applyBorder="1" applyAlignment="1">
      <alignment horizontal="center" vertical="center"/>
    </xf>
    <xf numFmtId="0" fontId="5" fillId="6" borderId="18" xfId="0" applyFont="1" applyFill="1" applyBorder="1"/>
    <xf numFmtId="0" fontId="5" fillId="6" borderId="19" xfId="0" applyFont="1" applyFill="1" applyBorder="1"/>
    <xf numFmtId="0" fontId="19" fillId="6" borderId="10" xfId="0" applyFont="1" applyFill="1" applyBorder="1"/>
    <xf numFmtId="9" fontId="19" fillId="6" borderId="11" xfId="2" applyFont="1" applyFill="1" applyBorder="1" applyAlignment="1">
      <alignment horizontal="center"/>
    </xf>
    <xf numFmtId="0" fontId="19" fillId="6" borderId="16" xfId="0" applyFont="1" applyFill="1" applyBorder="1"/>
    <xf numFmtId="9" fontId="5" fillId="0" borderId="0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wrapText="1"/>
    </xf>
    <xf numFmtId="0" fontId="0" fillId="0" borderId="0" xfId="0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5" fillId="0" borderId="9" xfId="0" applyFont="1" applyFill="1" applyBorder="1"/>
    <xf numFmtId="0" fontId="5" fillId="0" borderId="6" xfId="0" applyFont="1" applyFill="1" applyBorder="1"/>
    <xf numFmtId="164" fontId="5" fillId="0" borderId="12" xfId="0" applyNumberFormat="1" applyFont="1" applyFill="1" applyBorder="1"/>
    <xf numFmtId="9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Alignment="1"/>
    <xf numFmtId="0" fontId="5" fillId="0" borderId="0" xfId="0" applyFont="1" applyFill="1" applyAlignment="1"/>
    <xf numFmtId="9" fontId="7" fillId="0" borderId="25" xfId="0" applyNumberFormat="1" applyFont="1" applyFill="1" applyBorder="1" applyAlignment="1">
      <alignment horizontal="left"/>
    </xf>
    <xf numFmtId="165" fontId="5" fillId="0" borderId="23" xfId="0" applyNumberFormat="1" applyFont="1" applyFill="1" applyBorder="1" applyAlignment="1">
      <alignment horizontal="center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/>
    </xf>
    <xf numFmtId="9" fontId="0" fillId="0" borderId="0" xfId="2" applyFont="1" applyAlignment="1"/>
    <xf numFmtId="0" fontId="9" fillId="0" borderId="11" xfId="0" applyFont="1" applyBorder="1"/>
    <xf numFmtId="0" fontId="9" fillId="0" borderId="12" xfId="0" applyFont="1" applyBorder="1"/>
    <xf numFmtId="0" fontId="9" fillId="0" borderId="6" xfId="0" applyFont="1" applyBorder="1"/>
    <xf numFmtId="9" fontId="23" fillId="0" borderId="0" xfId="0" applyNumberFormat="1" applyFont="1" applyBorder="1" applyAlignment="1">
      <alignment vertical="center"/>
    </xf>
    <xf numFmtId="9" fontId="5" fillId="0" borderId="0" xfId="0" applyNumberFormat="1" applyFont="1" applyBorder="1" applyAlignment="1"/>
    <xf numFmtId="9" fontId="7" fillId="0" borderId="29" xfId="0" applyNumberFormat="1" applyFont="1" applyBorder="1" applyAlignment="1">
      <alignment horizontal="left" wrapText="1"/>
    </xf>
    <xf numFmtId="9" fontId="9" fillId="0" borderId="0" xfId="0" applyNumberFormat="1" applyFont="1" applyBorder="1" applyAlignment="1">
      <alignment horizontal="left"/>
    </xf>
    <xf numFmtId="9" fontId="9" fillId="0" borderId="36" xfId="0" applyNumberFormat="1" applyFont="1" applyBorder="1" applyAlignment="1">
      <alignment horizontal="left" vertical="center"/>
    </xf>
    <xf numFmtId="9" fontId="9" fillId="0" borderId="20" xfId="0" applyNumberFormat="1" applyFont="1" applyBorder="1" applyAlignment="1">
      <alignment horizontal="right"/>
    </xf>
    <xf numFmtId="44" fontId="5" fillId="5" borderId="25" xfId="5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left"/>
    </xf>
    <xf numFmtId="9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5" fillId="6" borderId="20" xfId="0" applyFont="1" applyFill="1" applyBorder="1" applyAlignment="1"/>
    <xf numFmtId="9" fontId="5" fillId="6" borderId="20" xfId="0" applyNumberFormat="1" applyFont="1" applyFill="1" applyBorder="1" applyAlignment="1">
      <alignment horizontal="right"/>
    </xf>
    <xf numFmtId="164" fontId="5" fillId="0" borderId="11" xfId="0" applyNumberFormat="1" applyFont="1" applyFill="1" applyBorder="1"/>
    <xf numFmtId="0" fontId="5" fillId="0" borderId="20" xfId="0" applyFont="1" applyFill="1" applyBorder="1" applyAlignment="1"/>
    <xf numFmtId="9" fontId="5" fillId="0" borderId="20" xfId="0" applyNumberFormat="1" applyFont="1" applyFill="1" applyBorder="1" applyAlignment="1">
      <alignment horizontal="right"/>
    </xf>
    <xf numFmtId="172" fontId="5" fillId="0" borderId="0" xfId="0" applyNumberFormat="1" applyFont="1" applyFill="1" applyAlignment="1"/>
    <xf numFmtId="0" fontId="0" fillId="0" borderId="0" xfId="0" applyFont="1" applyFill="1" applyAlignment="1"/>
    <xf numFmtId="9" fontId="5" fillId="0" borderId="0" xfId="2" applyFont="1" applyFill="1" applyAlignment="1"/>
    <xf numFmtId="164" fontId="5" fillId="0" borderId="14" xfId="0" applyNumberFormat="1" applyFont="1" applyFill="1" applyBorder="1"/>
    <xf numFmtId="0" fontId="5" fillId="0" borderId="2" xfId="0" applyFont="1" applyFill="1" applyBorder="1" applyAlignment="1">
      <alignment wrapText="1"/>
    </xf>
    <xf numFmtId="0" fontId="9" fillId="0" borderId="11" xfId="0" applyFont="1" applyFill="1" applyBorder="1"/>
    <xf numFmtId="0" fontId="5" fillId="0" borderId="19" xfId="0" applyFont="1" applyFill="1" applyBorder="1"/>
    <xf numFmtId="9" fontId="5" fillId="0" borderId="11" xfId="2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8" xfId="0" applyFont="1" applyFill="1" applyBorder="1"/>
    <xf numFmtId="9" fontId="5" fillId="0" borderId="18" xfId="2" applyFont="1" applyFill="1" applyBorder="1" applyAlignment="1">
      <alignment horizontal="center"/>
    </xf>
    <xf numFmtId="0" fontId="5" fillId="0" borderId="0" xfId="0" applyFont="1" applyFill="1" applyBorder="1" applyAlignment="1"/>
    <xf numFmtId="9" fontId="5" fillId="0" borderId="0" xfId="0" applyNumberFormat="1" applyFont="1" applyFill="1" applyBorder="1" applyAlignment="1">
      <alignment horizontal="left"/>
    </xf>
    <xf numFmtId="9" fontId="0" fillId="0" borderId="0" xfId="0" applyNumberFormat="1" applyFill="1"/>
    <xf numFmtId="9" fontId="5" fillId="0" borderId="20" xfId="2" applyFont="1" applyFill="1" applyBorder="1" applyAlignment="1">
      <alignment horizontal="right"/>
    </xf>
    <xf numFmtId="9" fontId="5" fillId="0" borderId="26" xfId="2" applyFont="1" applyFill="1" applyBorder="1" applyAlignment="1">
      <alignment horizontal="center" vertical="center" wrapText="1"/>
    </xf>
    <xf numFmtId="9" fontId="5" fillId="0" borderId="25" xfId="2" applyFont="1" applyFill="1" applyBorder="1" applyAlignment="1">
      <alignment horizontal="center" vertical="center" wrapText="1"/>
    </xf>
    <xf numFmtId="10" fontId="5" fillId="0" borderId="24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0" fontId="5" fillId="5" borderId="0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8" xfId="0" applyFont="1" applyFill="1" applyBorder="1" applyAlignment="1"/>
    <xf numFmtId="164" fontId="5" fillId="0" borderId="9" xfId="0" applyNumberFormat="1" applyFont="1" applyFill="1" applyBorder="1"/>
    <xf numFmtId="164" fontId="5" fillId="0" borderId="8" xfId="0" applyNumberFormat="1" applyFont="1" applyFill="1" applyBorder="1"/>
    <xf numFmtId="9" fontId="5" fillId="0" borderId="0" xfId="0" applyNumberFormat="1" applyFont="1" applyBorder="1" applyAlignment="1">
      <alignment horizontal="left"/>
    </xf>
    <xf numFmtId="165" fontId="9" fillId="0" borderId="25" xfId="0" applyNumberFormat="1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165" fontId="5" fillId="5" borderId="0" xfId="0" applyNumberFormat="1" applyFont="1" applyFill="1" applyBorder="1" applyAlignment="1">
      <alignment horizontal="center" vertical="center" wrapText="1"/>
    </xf>
    <xf numFmtId="9" fontId="5" fillId="5" borderId="0" xfId="2" applyFont="1" applyFill="1" applyBorder="1" applyAlignment="1">
      <alignment horizontal="center" vertical="center" wrapText="1"/>
    </xf>
    <xf numFmtId="9" fontId="0" fillId="6" borderId="0" xfId="2" applyFont="1" applyFill="1" applyBorder="1" applyAlignment="1">
      <alignment horizontal="center" vertical="center"/>
    </xf>
    <xf numFmtId="0" fontId="9" fillId="0" borderId="9" xfId="0" applyFont="1" applyFill="1" applyBorder="1"/>
    <xf numFmtId="0" fontId="9" fillId="0" borderId="6" xfId="0" applyFont="1" applyFill="1" applyBorder="1"/>
    <xf numFmtId="164" fontId="9" fillId="0" borderId="12" xfId="0" applyNumberFormat="1" applyFont="1" applyFill="1" applyBorder="1"/>
    <xf numFmtId="0" fontId="9" fillId="0" borderId="19" xfId="0" applyFont="1" applyFill="1" applyBorder="1"/>
    <xf numFmtId="164" fontId="9" fillId="0" borderId="9" xfId="0" applyNumberFormat="1" applyFont="1" applyFill="1" applyBorder="1"/>
    <xf numFmtId="165" fontId="5" fillId="0" borderId="0" xfId="0" applyNumberFormat="1" applyFont="1" applyAlignment="1">
      <alignment wrapText="1"/>
    </xf>
    <xf numFmtId="166" fontId="5" fillId="5" borderId="29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wrapText="1"/>
    </xf>
    <xf numFmtId="167" fontId="5" fillId="5" borderId="23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Border="1" applyAlignment="1">
      <alignment wrapText="1"/>
    </xf>
    <xf numFmtId="10" fontId="5" fillId="0" borderId="0" xfId="0" applyNumberFormat="1" applyFont="1"/>
    <xf numFmtId="9" fontId="5" fillId="0" borderId="24" xfId="2" applyFont="1" applyFill="1" applyBorder="1" applyAlignment="1">
      <alignment horizontal="center" vertical="center" wrapText="1"/>
    </xf>
    <xf numFmtId="9" fontId="0" fillId="0" borderId="25" xfId="2" applyFont="1" applyFill="1" applyBorder="1" applyAlignment="1">
      <alignment horizontal="center" vertical="center"/>
    </xf>
    <xf numFmtId="10" fontId="5" fillId="0" borderId="23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Alignment="1">
      <alignment wrapText="1"/>
    </xf>
    <xf numFmtId="175" fontId="5" fillId="0" borderId="8" xfId="2" applyNumberFormat="1" applyFont="1" applyFill="1" applyBorder="1"/>
    <xf numFmtId="175" fontId="5" fillId="0" borderId="11" xfId="0" applyNumberFormat="1" applyFont="1" applyFill="1" applyBorder="1"/>
    <xf numFmtId="175" fontId="5" fillId="0" borderId="20" xfId="0" applyNumberFormat="1" applyFont="1" applyBorder="1" applyAlignment="1">
      <alignment horizontal="right"/>
    </xf>
    <xf numFmtId="9" fontId="5" fillId="0" borderId="18" xfId="2" applyFont="1" applyFill="1" applyBorder="1" applyAlignment="1">
      <alignment horizontal="center" vertical="center"/>
    </xf>
    <xf numFmtId="9" fontId="5" fillId="0" borderId="0" xfId="0" applyNumberFormat="1" applyFont="1" applyFill="1" applyAlignment="1">
      <alignment horizontal="right"/>
    </xf>
    <xf numFmtId="164" fontId="5" fillId="0" borderId="15" xfId="0" applyNumberFormat="1" applyFont="1" applyFill="1" applyBorder="1"/>
    <xf numFmtId="164" fontId="5" fillId="0" borderId="19" xfId="0" applyNumberFormat="1" applyFont="1" applyFill="1" applyBorder="1"/>
    <xf numFmtId="0" fontId="5" fillId="0" borderId="0" xfId="0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9" fontId="5" fillId="5" borderId="0" xfId="2" applyNumberFormat="1" applyFont="1" applyFill="1" applyBorder="1" applyAlignment="1">
      <alignment horizontal="center" vertical="center" wrapText="1"/>
    </xf>
    <xf numFmtId="9" fontId="5" fillId="0" borderId="0" xfId="2" applyFont="1" applyBorder="1" applyAlignment="1">
      <alignment horizontal="center" vertical="center" wrapText="1"/>
    </xf>
    <xf numFmtId="9" fontId="0" fillId="6" borderId="0" xfId="2" applyNumberFormat="1" applyFont="1" applyFill="1" applyBorder="1" applyAlignment="1">
      <alignment horizontal="center" vertical="center"/>
    </xf>
    <xf numFmtId="10" fontId="0" fillId="6" borderId="0" xfId="2" applyNumberFormat="1" applyFont="1" applyFill="1" applyBorder="1" applyAlignment="1">
      <alignment horizontal="center" vertical="center"/>
    </xf>
    <xf numFmtId="0" fontId="5" fillId="5" borderId="26" xfId="2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6" fillId="0" borderId="0" xfId="0" applyFont="1"/>
    <xf numFmtId="168" fontId="26" fillId="0" borderId="0" xfId="0" applyNumberFormat="1" applyFont="1"/>
    <xf numFmtId="168" fontId="26" fillId="0" borderId="0" xfId="2" applyNumberFormat="1" applyFont="1"/>
    <xf numFmtId="9" fontId="26" fillId="0" borderId="0" xfId="2" applyFont="1"/>
    <xf numFmtId="0" fontId="26" fillId="0" borderId="0" xfId="0" applyFont="1" applyFill="1"/>
    <xf numFmtId="0" fontId="4" fillId="3" borderId="25" xfId="0" applyFont="1" applyFill="1" applyBorder="1"/>
    <xf numFmtId="0" fontId="15" fillId="4" borderId="25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top" wrapText="1"/>
    </xf>
    <xf numFmtId="0" fontId="15" fillId="7" borderId="25" xfId="0" applyFont="1" applyFill="1" applyBorder="1" applyAlignment="1">
      <alignment horizontal="center" vertical="center" wrapText="1"/>
    </xf>
    <xf numFmtId="9" fontId="0" fillId="0" borderId="0" xfId="2" applyFont="1" applyFill="1"/>
    <xf numFmtId="0" fontId="7" fillId="7" borderId="25" xfId="0" applyFont="1" applyFill="1" applyBorder="1" applyAlignment="1">
      <alignment horizontal="center" vertical="center" wrapText="1"/>
    </xf>
    <xf numFmtId="43" fontId="26" fillId="0" borderId="0" xfId="3" applyFont="1"/>
    <xf numFmtId="0" fontId="13" fillId="0" borderId="0" xfId="0" applyFont="1" applyFill="1"/>
    <xf numFmtId="170" fontId="13" fillId="0" borderId="0" xfId="3" applyNumberFormat="1" applyFont="1" applyFill="1"/>
    <xf numFmtId="43" fontId="13" fillId="0" borderId="0" xfId="3" applyFont="1" applyFill="1"/>
    <xf numFmtId="173" fontId="13" fillId="0" borderId="0" xfId="0" applyNumberFormat="1" applyFont="1" applyFill="1"/>
    <xf numFmtId="0" fontId="12" fillId="0" borderId="10" xfId="0" applyFont="1" applyFill="1" applyBorder="1"/>
    <xf numFmtId="0" fontId="27" fillId="0" borderId="33" xfId="0" applyFont="1" applyFill="1" applyBorder="1"/>
    <xf numFmtId="0" fontId="26" fillId="0" borderId="0" xfId="0" applyNumberFormat="1" applyFont="1"/>
    <xf numFmtId="0" fontId="26" fillId="0" borderId="31" xfId="0" applyNumberFormat="1" applyFont="1" applyBorder="1" applyAlignment="1">
      <alignment horizontal="left"/>
    </xf>
    <xf numFmtId="0" fontId="1" fillId="0" borderId="0" xfId="1" applyNumberFormat="1" applyFill="1"/>
    <xf numFmtId="0" fontId="1" fillId="0" borderId="0" xfId="1" applyFill="1"/>
    <xf numFmtId="165" fontId="0" fillId="0" borderId="1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ill="1"/>
    <xf numFmtId="165" fontId="5" fillId="0" borderId="0" xfId="0" applyNumberFormat="1" applyFont="1" applyFill="1" applyBorder="1" applyAlignment="1">
      <alignment wrapText="1"/>
    </xf>
    <xf numFmtId="165" fontId="0" fillId="0" borderId="0" xfId="0" applyNumberFormat="1" applyFill="1"/>
    <xf numFmtId="166" fontId="0" fillId="0" borderId="0" xfId="0" applyNumberFormat="1" applyFill="1"/>
    <xf numFmtId="165" fontId="0" fillId="0" borderId="1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165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ont="1" applyFill="1"/>
    <xf numFmtId="0" fontId="26" fillId="0" borderId="0" xfId="0" applyNumberFormat="1" applyFont="1" applyFill="1"/>
    <xf numFmtId="1" fontId="26" fillId="0" borderId="0" xfId="0" applyNumberFormat="1" applyFont="1" applyFill="1"/>
    <xf numFmtId="9" fontId="26" fillId="0" borderId="0" xfId="0" applyNumberFormat="1" applyFont="1" applyFill="1"/>
    <xf numFmtId="0" fontId="0" fillId="0" borderId="27" xfId="0" applyFont="1" applyFill="1" applyBorder="1"/>
    <xf numFmtId="0" fontId="1" fillId="0" borderId="27" xfId="1" applyFont="1" applyFill="1" applyBorder="1"/>
    <xf numFmtId="0" fontId="0" fillId="0" borderId="0" xfId="0" applyFont="1" applyFill="1" applyBorder="1"/>
    <xf numFmtId="165" fontId="16" fillId="0" borderId="0" xfId="0" applyNumberFormat="1" applyFont="1" applyFill="1" applyBorder="1" applyAlignment="1">
      <alignment horizontal="center" vertical="center" wrapText="1"/>
    </xf>
    <xf numFmtId="166" fontId="16" fillId="0" borderId="0" xfId="0" applyNumberFormat="1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43" fontId="5" fillId="0" borderId="0" xfId="3" applyFont="1" applyFill="1" applyBorder="1" applyAlignment="1">
      <alignment horizontal="center" vertical="center" wrapText="1"/>
    </xf>
    <xf numFmtId="9" fontId="0" fillId="0" borderId="0" xfId="2" applyFont="1" applyFill="1" applyBorder="1" applyAlignment="1">
      <alignment horizontal="center" vertical="center"/>
    </xf>
    <xf numFmtId="43" fontId="0" fillId="0" borderId="0" xfId="3" applyFont="1" applyFill="1" applyBorder="1" applyAlignment="1">
      <alignment horizontal="center" vertical="center"/>
    </xf>
    <xf numFmtId="10" fontId="16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1" fillId="0" borderId="1" xfId="1" applyFont="1" applyFill="1" applyBorder="1"/>
    <xf numFmtId="9" fontId="0" fillId="0" borderId="0" xfId="0" applyNumberFormat="1" applyFill="1" applyBorder="1" applyAlignment="1">
      <alignment horizontal="center"/>
    </xf>
    <xf numFmtId="10" fontId="18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wrapText="1"/>
    </xf>
    <xf numFmtId="171" fontId="5" fillId="0" borderId="0" xfId="5" applyNumberFormat="1" applyFont="1" applyFill="1" applyBorder="1" applyAlignment="1">
      <alignment horizontal="center" vertical="center" wrapText="1"/>
    </xf>
    <xf numFmtId="171" fontId="5" fillId="0" borderId="0" xfId="5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/>
    <xf numFmtId="0" fontId="4" fillId="3" borderId="27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20" fillId="4" borderId="28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4" borderId="24" xfId="0" applyFont="1" applyFill="1" applyBorder="1" applyAlignment="1">
      <alignment horizontal="left" vertical="center" wrapText="1"/>
    </xf>
    <xf numFmtId="0" fontId="20" fillId="4" borderId="21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9" fontId="0" fillId="0" borderId="0" xfId="2" applyNumberFormat="1" applyFont="1" applyFill="1" applyBorder="1"/>
    <xf numFmtId="0" fontId="4" fillId="3" borderId="3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164" fontId="26" fillId="0" borderId="0" xfId="2" applyNumberFormat="1" applyFont="1"/>
    <xf numFmtId="9" fontId="5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22" fillId="0" borderId="35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</cellXfs>
  <cellStyles count="6">
    <cellStyle name="Lien hypertexte" xfId="1" builtinId="8"/>
    <cellStyle name="Milliers" xfId="3" builtinId="3"/>
    <cellStyle name="Monétaire" xfId="5" builtinId="4"/>
    <cellStyle name="Normal" xfId="0" builtinId="0"/>
    <cellStyle name="Normal 4" xfId="4"/>
    <cellStyle name="Pourcentage" xfId="2" builtinId="5"/>
  </cellStyles>
  <dxfs count="66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0" formatCode="General"/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numFmt numFmtId="165" formatCode="#,##0\ &quot;€&quot;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166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165" formatCode="#,##0\ &quot;€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color rgb="FF000000"/>
        <name val="Arial"/>
        <scheme val="none"/>
      </font>
      <numFmt numFmtId="164" formatCode="0.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  <border outline="0">
        <left style="thin">
          <color rgb="FF000000"/>
        </left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3" formatCode="0%"/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3" formatCode="0%"/>
      <fill>
        <patternFill patternType="none">
          <fgColor indexed="64"/>
          <bgColor auto="1"/>
        </patternFill>
      </fill>
    </dxf>
    <dxf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rgb="FF000000"/>
        </bottom>
      </border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numFmt numFmtId="165" formatCode="#,##0\ &quot;€&quot;"/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  <border outline="0">
        <left style="thin">
          <color rgb="FF000000"/>
        </left>
      </border>
    </dxf>
    <dxf>
      <numFmt numFmtId="14" formatCode="0.00%"/>
      <fill>
        <patternFill patternType="none">
          <fgColor indexed="64"/>
          <bgColor auto="1"/>
        </patternFill>
      </fill>
    </dxf>
    <dxf>
      <numFmt numFmtId="13" formatCode="0%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3" formatCode="0%"/>
      <border outline="0">
        <right style="thin">
          <color auto="1"/>
        </right>
      </border>
    </dxf>
    <dxf>
      <numFmt numFmtId="13" formatCode="0%"/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numFmt numFmtId="165" formatCode="#,##0\ &quot;€&quot;"/>
      <fill>
        <patternFill patternType="none">
          <fgColor indexed="64"/>
          <bgColor auto="1"/>
        </patternFill>
      </fill>
      <border outline="0">
        <left style="thin">
          <color rgb="FF000000"/>
        </left>
        <right/>
      </border>
    </dxf>
    <dxf>
      <numFmt numFmtId="166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  <border outline="0">
        <left style="thin">
          <color rgb="FF000000"/>
        </left>
        <right/>
      </border>
    </dxf>
    <dxf>
      <numFmt numFmtId="165" formatCode="#,##0\ &quot;€&quot;"/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165" formatCode="#,##0\ &quot;€&quot;"/>
      <fill>
        <patternFill patternType="none">
          <fgColor indexed="64"/>
          <bgColor auto="1"/>
        </patternFill>
      </fill>
      <border outline="0">
        <left style="thin">
          <color auto="1"/>
        </left>
      </border>
    </dxf>
    <dxf>
      <numFmt numFmtId="165" formatCode="#,##0\ &quot;€&quot;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outline="0">
        <right style="thin">
          <color auto="1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4" formatCode="0.00%"/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numFmt numFmtId="14" formatCode="0.00%"/>
      <fill>
        <patternFill patternType="none">
          <fgColor indexed="64"/>
          <bgColor auto="1"/>
        </patternFill>
      </fill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3" formatCode="0%"/>
    </dxf>
    <dxf>
      <numFmt numFmtId="14" formatCode="0.00%"/>
    </dxf>
    <dxf>
      <numFmt numFmtId="13" formatCode="0%"/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</dxf>
    <dxf>
      <numFmt numFmtId="14" formatCode="0.0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65" formatCode="#,##0\ &quot;€&quot;"/>
    </dxf>
    <dxf>
      <numFmt numFmtId="165" formatCode="#,##0\ &quot;€&quot;"/>
    </dxf>
    <dxf>
      <numFmt numFmtId="165" formatCode="#,##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rgb="FF000000"/>
        </left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numFmt numFmtId="13" formatCode="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4" formatCode="0.0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3" formatCode="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3" formatCode="0%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6" formatCode="#,##0.0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numFmt numFmtId="165" formatCode="#,##0\ &quot;€&quot;"/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/>
        <bottom/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rgb="FF5B9BD5"/>
          <bgColor rgb="FF5B9BD5"/>
        </patternFill>
      </fill>
      <alignment horizontal="center" vertical="center" textRotation="0" wrapText="1" indent="0" justifyLastLine="0" shrinkToFit="0" readingOrder="0"/>
    </dxf>
    <dxf>
      <numFmt numFmtId="13" formatCode="0%"/>
      <fill>
        <patternFill patternType="none">
          <bgColor auto="1"/>
        </patternFill>
      </fill>
    </dxf>
    <dxf>
      <numFmt numFmtId="13" formatCode="0%"/>
      <fill>
        <patternFill patternType="none">
          <bgColor auto="1"/>
        </patternFill>
      </fill>
    </dxf>
    <dxf>
      <numFmt numFmtId="13" formatCode="0%"/>
      <fill>
        <patternFill patternType="none">
          <bgColor auto="1"/>
        </patternFill>
      </fill>
    </dxf>
    <dxf>
      <numFmt numFmtId="13" formatCode="0%"/>
      <fill>
        <patternFill patternType="none">
          <bgColor auto="1"/>
        </patternFill>
      </fill>
    </dxf>
    <dxf>
      <numFmt numFmtId="13" formatCode="0%"/>
      <fill>
        <patternFill patternType="none">
          <bgColor auto="1"/>
        </patternFill>
      </fill>
    </dxf>
    <dxf>
      <numFmt numFmtId="13" formatCode="0%"/>
      <fill>
        <patternFill patternType="none">
          <bgColor auto="1"/>
        </patternFill>
      </fill>
    </dxf>
    <dxf>
      <numFmt numFmtId="14" formatCode="0.0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3" formatCode="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3" formatCode="0%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4" formatCode="0.00%"/>
      <fill>
        <patternFill patternType="none">
          <fgColor rgb="FFFFFFFF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numFmt numFmtId="165" formatCode="#,##0\ &quot;€&quot;"/>
      <fill>
        <patternFill patternType="none">
          <bgColor auto="1"/>
        </patternFill>
      </fill>
    </dxf>
    <dxf>
      <numFmt numFmtId="165" formatCode="#,##0\ &quot;€&quot;"/>
      <fill>
        <patternFill patternType="none">
          <bgColor auto="1"/>
        </patternFill>
      </fill>
    </dxf>
    <dxf>
      <numFmt numFmtId="165" formatCode="#,##0\ &quot;€&quot;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\ &quot;€&quot;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border outline="0">
        <left style="thin">
          <color rgb="FF000000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mbria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 defaultTableStyle="TableStyleMedium2" defaultPivotStyle="PivotStyleLight16">
    <tableStyle name="AIRLIQUIDE-style" pivot="0" count="3">
      <tableStyleElement type="headerRow" dxfId="660"/>
      <tableStyleElement type="firstRowStripe" dxfId="659"/>
      <tableStyleElement type="secondRowStripe" dxfId="658"/>
    </tableStyle>
    <tableStyle name="Analyse Rémunération PDG 2022-style 2" pivot="0" count="2">
      <tableStyleElement type="firstRowStripe" dxfId="657"/>
      <tableStyleElement type="secondRowStripe" dxfId="656"/>
    </tableStyle>
    <tableStyle name="Analyse Rémunération PDG 2022-style 3" pivot="0" count="2">
      <tableStyleElement type="firstRowStripe" dxfId="655"/>
      <tableStyleElement type="secondRowStripe" dxfId="654"/>
    </tableStyle>
  </tableStyles>
  <colors>
    <mruColors>
      <color rgb="FFFF5050"/>
      <color rgb="FFC9312D"/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xfamfrance-my.sharepoint.com/personal/lguerin_oxfamfrance_org/Documents/Documents/Campagne%20Secteur%20Priv&#233;/CAC%2040%20Salaires/Donn&#233;es%20re&#231;ues%20-%20Mars/OXFAM%20-%20Air%20Liquide%202022_revue%20AL%20_%20202403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xfamfrance-my.sharepoint.com/personal/lguerin_oxfamfrance_org/Documents/Documents/Campagne%20Secteur%20Priv&#233;/CAC%2040%20Salaires/Donn&#233;es%20envoy&#233;es%20-%20F&#233;vrier/STMicroelectronic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Air Liquide 2022"/>
      <sheetName val="Analyse Rémunération PDG 2022"/>
      <sheetName val="Données Air Liquide 2019 "/>
    </sheetNames>
    <sheetDataSet>
      <sheetData sheetId="0"/>
      <sheetData sheetId="1">
        <row r="2">
          <cell r="E2">
            <v>1193750</v>
          </cell>
          <cell r="F2">
            <v>1834429</v>
          </cell>
          <cell r="G2"/>
          <cell r="H2">
            <v>961965</v>
          </cell>
          <cell r="I2">
            <v>12450</v>
          </cell>
          <cell r="J2"/>
        </row>
        <row r="10">
          <cell r="E10"/>
          <cell r="F10"/>
          <cell r="G10"/>
          <cell r="H10"/>
          <cell r="I10"/>
          <cell r="J10"/>
        </row>
        <row r="11">
          <cell r="E11" t="str">
            <v>Financier/ Non-Financier</v>
          </cell>
          <cell r="F11" t="str">
            <v>Pour F : Critère de valeur actionnariale</v>
          </cell>
          <cell r="G11" t="str">
            <v>Pour Non-Financier : objectifs Mesurables?</v>
          </cell>
          <cell r="H11" t="str">
            <v>Pour non-financier : objectif climat ?</v>
          </cell>
          <cell r="I11"/>
          <cell r="J11"/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STMicroelectronics 2022"/>
      <sheetName val="Analyse rémunération PDG 2022"/>
      <sheetName val="Données STMicroelectronics 2019"/>
      <sheetName val="Analyse rémunération PDG"/>
    </sheetNames>
    <sheetDataSet>
      <sheetData sheetId="0"/>
      <sheetData sheetId="1">
        <row r="13">
          <cell r="J13">
            <v>0</v>
          </cell>
        </row>
      </sheetData>
      <sheetData sheetId="2"/>
      <sheetData sheetId="3" refreshError="1"/>
    </sheetDataSet>
  </externalBook>
</externalLink>
</file>

<file path=xl/tables/table1.xml><?xml version="1.0" encoding="utf-8"?>
<table xmlns="http://schemas.openxmlformats.org/spreadsheetml/2006/main" id="48" name="Tableau48" displayName="Tableau48" ref="A1:Q41" totalsRowShown="0" headerRowDxfId="653" dataDxfId="652">
  <autoFilter ref="A1:Q41"/>
  <tableColumns count="17">
    <tableColumn id="1" name="annee" dataDxfId="651"/>
    <tableColumn id="2" name="libelle_regroupement" dataDxfId="650"/>
    <tableColumn id="3" name="nom_entreprise" dataDxfId="649"/>
    <tableColumn id="5" name="Personnel Expenses (RO)" dataDxfId="648"/>
    <tableColumn id="6" name="Personnel Expenses/Number Of Employees (RO)" dataDxfId="647"/>
    <tableColumn id="7" name="CEO Remuneration Total Proxinvest (RO)" dataDxfId="646"/>
    <tableColumn id="8" name="CEO remuneration - fixed (RO)" dataDxfId="645"/>
    <tableColumn id="9" name="CEO remuneration - options (RO)" dataDxfId="644"/>
    <tableColumn id="10" name="CEO remuneration - other (RO)" dataDxfId="643"/>
    <tableColumn id="11" name="CEO remuneration - shares (RO)" dataDxfId="642"/>
    <tableColumn id="12" name="CEO remuneration - variable annual (RO)" dataDxfId="641"/>
    <tableColumn id="13" name="CEO remuneration - variable pluriannual (RO)" dataDxfId="640"/>
    <tableColumn id="14" name="Income taxes (RO)" dataDxfId="639"/>
    <tableColumn id="15" name="Net Profit (part of the group) (RO)" dataDxfId="638"/>
    <tableColumn id="16" name="Total Deprec., Amort. &amp; Depletion (RO)" dataDxfId="637"/>
    <tableColumn id="17" name="Number Of Employees (RO)" dataDxfId="636"/>
    <tableColumn id="18" name="CEO-to-average remuneration" dataDxfId="635">
      <calculatedColumnFormula>F2/E2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1" name="Table_354567810111415161718192021222324272852" displayName="Table_354567810111415161718192021222324272852" ref="A1:S2" headerRowDxfId="507">
  <tableColumns count="19">
    <tableColumn id="1" name="Nom"/>
    <tableColumn id="2" name="Entreprise"/>
    <tableColumn id="3" name="Poste"/>
    <tableColumn id="4" name="Rémunération _x000a_totale" dataDxfId="506">
      <calculatedColumnFormula>SUM(Table_354567810111415161718192021222324272852[[#This Row],[Fixe]:[Retraite ]])</calculatedColumnFormula>
    </tableColumn>
    <tableColumn id="5" name="Fixe"/>
    <tableColumn id="6" name="Variable"/>
    <tableColumn id="7" name="Bonus"/>
    <tableColumn id="8" name="Actions de performance" dataDxfId="505"/>
    <tableColumn id="9" name="Nature + Autres"/>
    <tableColumn id="10" name="Retraite " dataDxfId="504"/>
    <tableColumn id="21" name="Part court-terme/financier" dataDxfId="503">
      <calculatedColumnFormula>((J11*J7)*F2+(J24*J20)*G2+(J33*J29)*H2)/((J7*F2)+(J20*G2)+(J29*H2))</calculatedColumnFormula>
    </tableColumn>
    <tableColumn id="22" name="Part long-terme/financier" dataDxfId="502">
      <calculatedColumnFormula>1-K2</calculatedColumnFormula>
    </tableColumn>
    <tableColumn id="15" name="Poids financier dans la rémunération variable" dataDxfId="501" dataCellStyle="Pourcentage">
      <calculatedColumnFormula>(J7*F2+J20*G2+J29*H2)
/(F2+G2+H2)</calculatedColumnFormula>
    </tableColumn>
    <tableColumn id="11" name="Poids financier dans la rémunération totale" dataDxfId="500">
      <calculatedColumnFormula>(J7*F2+J20*G2+J29*H2)/D2</calculatedColumnFormula>
    </tableColumn>
    <tableColumn id="12" name="Poids valeur actionnariale dans la rémunération totale" dataDxfId="499">
      <calculatedColumnFormula>(F2*J10+G2*J23+H2*J32)/D2</calculatedColumnFormula>
    </tableColumn>
    <tableColumn id="13" name="Poids non financier dans la rémunération totale" dataDxfId="498">
      <calculatedColumnFormula>(J8*F2+J21*G2+J30*H2)/D2</calculatedColumnFormula>
    </tableColumn>
    <tableColumn id="14" name="Poids non financier mesurable dans la rémunération totale" dataDxfId="497">
      <calculatedColumnFormula>(J9*F2+J22*G2+J31*H2)/D2</calculatedColumnFormula>
    </tableColumn>
    <tableColumn id="16" name="Poids climatique dans la rémunération variable " dataDxfId="496">
      <calculatedColumnFormula>(J13*F2+J26*G2+J35*H2)/(F2+G2+H2)</calculatedColumnFormula>
    </tableColumn>
    <tableColumn id="17" name="Poids climatique dans rémunération totale" dataDxfId="495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1.xml><?xml version="1.0" encoding="utf-8"?>
<table xmlns="http://schemas.openxmlformats.org/spreadsheetml/2006/main" id="52" name="Table_35456781011141516171819202122232427282930313233343553" displayName="Table_35456781011141516171819202122232427282930313233343553" ref="A1:S2" headerRowDxfId="494">
  <tableColumns count="19">
    <tableColumn id="1" name="Nom"/>
    <tableColumn id="2" name="Entreprise"/>
    <tableColumn id="3" name="Poste"/>
    <tableColumn id="4" name="Rémunération _x000a_totale" dataDxfId="493">
      <calculatedColumnFormula>SUM(Table_35456781011141516171819202122232427282930313233343553[[#This Row],[Fixe]:[Retraite ]])</calculatedColumnFormula>
    </tableColumn>
    <tableColumn id="5" name="Fixe" dataDxfId="492"/>
    <tableColumn id="6" name="Variable" dataDxfId="491"/>
    <tableColumn id="7" name="Bonus"/>
    <tableColumn id="8" name="Actions de performance" dataDxfId="490"/>
    <tableColumn id="9" name="Nature + Autres" dataDxfId="489">
      <calculatedColumnFormula>63220+6446</calculatedColumnFormula>
    </tableColumn>
    <tableColumn id="10" name="Retraite " dataDxfId="488"/>
    <tableColumn id="21" name="Part court-terme/financier" dataDxfId="487">
      <calculatedColumnFormula>((J11*J7)*F2+(J24*J20)*G2+(J33*J29)*H2)/((J7*F2)+(J20*G2)+(J29*H2))</calculatedColumnFormula>
    </tableColumn>
    <tableColumn id="22" name="Part long-terme/financier" dataDxfId="486">
      <calculatedColumnFormula>1-K2</calculatedColumnFormula>
    </tableColumn>
    <tableColumn id="15" name="Poids financier dans la rémunération variable" dataDxfId="485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484">
      <calculatedColumnFormula>(F2*J10+G2*J23+H2*J32)/D2</calculatedColumnFormula>
    </tableColumn>
    <tableColumn id="13" name="Poids non financier dans la rémunération totale" dataDxfId="483">
      <calculatedColumnFormula>(J8*F2+J21*G2+J30*H2)/D2</calculatedColumnFormula>
    </tableColumn>
    <tableColumn id="14" name="Poids non financier mesurable dans la rémunération totale" dataDxfId="482">
      <calculatedColumnFormula>(J9*F2+J22*G2+J31*H2)/D2</calculatedColumnFormula>
    </tableColumn>
    <tableColumn id="16" name="Poids climatique dans la rémunération variable " dataDxfId="481">
      <calculatedColumnFormula>(J13*F2+J26*G2+J35*H2)/(F2+G2+H2)</calculatedColumnFormula>
    </tableColumn>
    <tableColumn id="17" name="Poids climatique dans rémunération totale" dataDxfId="480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2.xml><?xml version="1.0" encoding="utf-8"?>
<table xmlns="http://schemas.openxmlformats.org/spreadsheetml/2006/main" id="13" name="Table_3545678101114" displayName="Table_3545678101114" ref="A1:S2" headerRowDxfId="479">
  <tableColumns count="19">
    <tableColumn id="1" name="Nom"/>
    <tableColumn id="2" name="Entreprise"/>
    <tableColumn id="3" name="Poste"/>
    <tableColumn id="4" name="Rémunération _x000a_totale" dataDxfId="478">
      <calculatedColumnFormula>SUM(Table_3545678101114[[#This Row],[Fixe]:[Retraite ]])</calculatedColumnFormula>
    </tableColumn>
    <tableColumn id="5" name="Fixe"/>
    <tableColumn id="6" name="Variable"/>
    <tableColumn id="7" name="Bonus"/>
    <tableColumn id="8" name="Actions de performance" dataDxfId="477"/>
    <tableColumn id="9" name="Nature + Autres">
      <calculatedColumnFormula>46959+18177+60500</calculatedColumnFormula>
    </tableColumn>
    <tableColumn id="10" name="Retraite " dataDxfId="476"/>
    <tableColumn id="21" name="Part court-terme/financier" dataDxfId="475">
      <calculatedColumnFormula>((J11*J7)*F2+(J24*J20)*G2+(J33*J29)*H2)/((J7*F2)+(J20*G2)+(J29*H2))</calculatedColumnFormula>
    </tableColumn>
    <tableColumn id="22" name="Part long-terme/financier" dataDxfId="474">
      <calculatedColumnFormula>1-K2</calculatedColumnFormula>
    </tableColumn>
    <tableColumn id="15" name="Poids financier dans la rémunération variable" dataDxfId="473" dataCellStyle="Pourcentage">
      <calculatedColumnFormula>(J7*F2+J20*G2+J29*H2)
/(F2+G2+H2)</calculatedColumnFormula>
    </tableColumn>
    <tableColumn id="11" name="Poids financier dans la rémunération totale" dataDxfId="472">
      <calculatedColumnFormula>(J7*F2+J20*G2+J29*H2)/D2</calculatedColumnFormula>
    </tableColumn>
    <tableColumn id="12" name="Poids valeur actionnariale dans la rémunération totale" dataDxfId="471">
      <calculatedColumnFormula>(F2*J10+G2*J23+H2*J32)/D2</calculatedColumnFormula>
    </tableColumn>
    <tableColumn id="13" name="Poids non financier dans la rémunération totale" dataDxfId="470">
      <calculatedColumnFormula>(J8*F2+J21*G2+J30*H2)/D2</calculatedColumnFormula>
    </tableColumn>
    <tableColumn id="14" name="Poids non financier mesurable dans la rémunération totale" dataDxfId="469">
      <calculatedColumnFormula>(J9*F2+J22*G2+J31*H2)/D2</calculatedColumnFormula>
    </tableColumn>
    <tableColumn id="16" name="Poids climatique dans la rémunération variable " dataDxfId="468">
      <calculatedColumnFormula>(J13*F2+J26*G2+J35*H2)/(F2+G2+H2)</calculatedColumnFormula>
    </tableColumn>
    <tableColumn id="17" name="Poids climatique dans rémunération totale" dataDxfId="467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3.xml><?xml version="1.0" encoding="utf-8"?>
<table xmlns="http://schemas.openxmlformats.org/spreadsheetml/2006/main" id="54" name="Table_354567810111415161718" displayName="Table_354567810111415161718" ref="A1:S2" headerRowDxfId="466">
  <tableColumns count="19">
    <tableColumn id="1" name="Nom"/>
    <tableColumn id="2" name="Entreprise"/>
    <tableColumn id="3" name="Poste"/>
    <tableColumn id="4" name="Rémunération _x000a_totale" dataDxfId="465">
      <calculatedColumnFormula>SUM(Table_354567810111415161718[[#This Row],[Fixe]:[Retraite ]])</calculatedColumnFormula>
    </tableColumn>
    <tableColumn id="5" name="Fixe"/>
    <tableColumn id="6" name="Variable"/>
    <tableColumn id="7" name="Bonus"/>
    <tableColumn id="8" name="Actions de performance" dataDxfId="464"/>
    <tableColumn id="9" name="Nature + Autres"/>
    <tableColumn id="10" name="Retraite " dataDxfId="463"/>
    <tableColumn id="21" name="Part court-terme/financier" dataDxfId="462">
      <calculatedColumnFormula>((J11*J7)*F2+(J24*J20)*G2+(J33*J29)*H2)/((J7*F2)+(J20*G2)+(J29*H2))</calculatedColumnFormula>
    </tableColumn>
    <tableColumn id="22" name="Part long-terme/financier" dataDxfId="461">
      <calculatedColumnFormula>1-K2</calculatedColumnFormula>
    </tableColumn>
    <tableColumn id="15" name="Poids financier dans la rémunération variable" dataDxfId="460" dataCellStyle="Pourcentage">
      <calculatedColumnFormula>(J7*F2+J20*G2+J29*H2)
/(F2+G2+H2)</calculatedColumnFormula>
    </tableColumn>
    <tableColumn id="11" name="Poids financier dans la rémunération totale" dataDxfId="459">
      <calculatedColumnFormula>(J7*F2+J20*G2+J29*H2)/D2</calculatedColumnFormula>
    </tableColumn>
    <tableColumn id="12" name="Poids valeur actionnariale dans la rémunération totale" dataDxfId="458">
      <calculatedColumnFormula>(F2*J10+G2*J23+H2*J32)/D2</calculatedColumnFormula>
    </tableColumn>
    <tableColumn id="13" name="Poids non financier dans la rémunération totale" dataDxfId="457">
      <calculatedColumnFormula>(J8*F2+J21*G2+J30*H2)/D2</calculatedColumnFormula>
    </tableColumn>
    <tableColumn id="14" name="Poids non financier mesurable dans la rémunération totale" dataDxfId="456">
      <calculatedColumnFormula>(J9*F2+J22*G2+J31*H2)/D2</calculatedColumnFormula>
    </tableColumn>
    <tableColumn id="16" name="Poids climatique dans la rémunération variable " dataDxfId="455">
      <calculatedColumnFormula>(J13*F2+J26*G2+J35*H2)/(F2+G2+H2)</calculatedColumnFormula>
    </tableColumn>
    <tableColumn id="17" name="Poids climatique dans rémunération totale" dataDxfId="454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4.xml><?xml version="1.0" encoding="utf-8"?>
<table xmlns="http://schemas.openxmlformats.org/spreadsheetml/2006/main" id="12" name="Table_354513" displayName="Table_354513" ref="A1:S2" headerRowDxfId="453">
  <tableColumns count="19">
    <tableColumn id="1" name="Nom"/>
    <tableColumn id="2" name="Entreprise"/>
    <tableColumn id="3" name="Poste"/>
    <tableColumn id="4" name="Rémunération _x000a_totale" dataDxfId="452">
      <calculatedColumnFormula>SUM(Table_354513[[#This Row],[Fixe]:[Retraite ]])</calculatedColumnFormula>
    </tableColumn>
    <tableColumn id="5" name="Fixe"/>
    <tableColumn id="6" name="Variable"/>
    <tableColumn id="7" name="Bonus"/>
    <tableColumn id="8" name="Actions de performance" dataDxfId="451"/>
    <tableColumn id="9" name="Nature + Autres">
      <calculatedColumnFormula>9052+75000</calculatedColumnFormula>
    </tableColumn>
    <tableColumn id="10" name="Retraite "/>
    <tableColumn id="21" name="Part court-terme/financier" dataDxfId="450">
      <calculatedColumnFormula>((J11*J7)*F2+(J24*J20)*G2+(J33*J29)*H2)/((J7*F2)+(J20*G2)+(J29*H2))</calculatedColumnFormula>
    </tableColumn>
    <tableColumn id="22" name="Part long-terme/financier" dataDxfId="449">
      <calculatedColumnFormula>1-K2</calculatedColumnFormula>
    </tableColumn>
    <tableColumn id="15" name="Poids financier dans la rémunération variable" dataDxfId="448" dataCellStyle="Pourcentage">
      <calculatedColumnFormula>(J7*F2+J20*G2+J29*H2)
/(F2+G2+H2)</calculatedColumnFormula>
    </tableColumn>
    <tableColumn id="11" name="Poids financier dans la rémunération totale" dataDxfId="447">
      <calculatedColumnFormula>(J7*F2+J20*G2+J29*H2)/D2</calculatedColumnFormula>
    </tableColumn>
    <tableColumn id="12" name="Poids valeur actionnariale dans la rémunération totale" dataDxfId="446">
      <calculatedColumnFormula>(F2*J10+G2*J23+H2*J32)/D2</calculatedColumnFormula>
    </tableColumn>
    <tableColumn id="13" name="Poids non financier dans la rémunération totale" dataDxfId="445">
      <calculatedColumnFormula>(J8*F2+J21*G2+J30*H2)/D2</calculatedColumnFormula>
    </tableColumn>
    <tableColumn id="14" name="Poids non financier mesurable dans la rémunération totale" dataDxfId="444">
      <calculatedColumnFormula>(J9*F2+J22*G2+J31*H2)/D2</calculatedColumnFormula>
    </tableColumn>
    <tableColumn id="16" name="Poids climatique dans la rémunération variable " dataDxfId="443">
      <calculatedColumnFormula>(J13*F2+J26*G2+J35*H2)/(F2+G2+H2)</calculatedColumnFormula>
    </tableColumn>
    <tableColumn id="17" name="Poids climatique dans rémunération totale" dataDxfId="442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5.xml><?xml version="1.0" encoding="utf-8"?>
<table xmlns="http://schemas.openxmlformats.org/spreadsheetml/2006/main" id="17" name="Table_354567810111415161718192021222324272829303132333435363738394041444" displayName="Table_354567810111415161718192021222324272829303132333435363738394041444" ref="A1:S2" headerRowDxfId="441">
  <tableColumns count="19">
    <tableColumn id="1" name="Nom"/>
    <tableColumn id="2" name="Entreprise"/>
    <tableColumn id="3" name="Poste"/>
    <tableColumn id="4" name="Rémunération _x000a_totale" dataDxfId="440">
      <calculatedColumnFormula>SUM(Table_354567810111415161718192021222324272829303132333435363738394041444[[#This Row],[Fixe]:[Retraite ]])</calculatedColumnFormula>
    </tableColumn>
    <tableColumn id="5" name="Fixe" dataDxfId="439"/>
    <tableColumn id="6" name="Variable" dataDxfId="438"/>
    <tableColumn id="7" name="Bonus"/>
    <tableColumn id="8" name="Actions de performance" dataDxfId="437"/>
    <tableColumn id="9" name="Nature + Autres" dataDxfId="436"/>
    <tableColumn id="10" name="Retraite " dataDxfId="435"/>
    <tableColumn id="21" name="Part court-terme/financier" dataDxfId="434">
      <calculatedColumnFormula>((J11*J7)*F2+(J24*J20)*G2+(J33*J29)*H2)/((J7*F2)+(J20*G2)+(J29*H2))</calculatedColumnFormula>
    </tableColumn>
    <tableColumn id="22" name="Part long-terme/financier" dataDxfId="433">
      <calculatedColumnFormula>1-K2</calculatedColumnFormula>
    </tableColumn>
    <tableColumn id="15" name="Poids financier dans la rémunération variable" dataDxfId="432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431">
      <calculatedColumnFormula>(F2*J10+G2*J23+H2*J32)/D2</calculatedColumnFormula>
    </tableColumn>
    <tableColumn id="13" name="Poids non financier dans la rémunération totale" dataDxfId="430">
      <calculatedColumnFormula>(J8*F2+J21*G2+J30*H2)/D2</calculatedColumnFormula>
    </tableColumn>
    <tableColumn id="14" name="Poids non financier mesurable dans la rémunération totale" dataDxfId="429">
      <calculatedColumnFormula>(J9*F2+J22*G2+J31*H2)/D2</calculatedColumnFormula>
    </tableColumn>
    <tableColumn id="16" name="Poids climatique dans la rémunération variable " dataDxfId="428">
      <calculatedColumnFormula>(J13*F2+J26*G2+J35*H2)/(F2+G2+H2)</calculatedColumnFormula>
    </tableColumn>
    <tableColumn id="17" name="Poids climatique dans rémunération totale" dataDxfId="427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6.xml><?xml version="1.0" encoding="utf-8"?>
<table xmlns="http://schemas.openxmlformats.org/spreadsheetml/2006/main" id="27" name="Table_3545678101114151628" displayName="Table_3545678101114151628" ref="A1:S3" totalsRowCount="1" headerRowDxfId="426">
  <tableColumns count="19">
    <tableColumn id="1" name="Nom" totalsRowDxfId="425"/>
    <tableColumn id="2" name="Entreprise" totalsRowDxfId="424"/>
    <tableColumn id="3" name="Poste" totalsRowDxfId="423"/>
    <tableColumn id="4" name="Rémunération _x000a_totale" dataDxfId="422" totalsRowDxfId="421">
      <calculatedColumnFormula>SUM(Table_3545678101114151628[[#This Row],[Fixe]:[Retraite ]])</calculatedColumnFormula>
    </tableColumn>
    <tableColumn id="5" name="Fixe" totalsRowDxfId="420"/>
    <tableColumn id="6" name="Variable" totalsRowDxfId="419"/>
    <tableColumn id="7" name="Bonus" totalsRowDxfId="418"/>
    <tableColumn id="8" name="Actions de performance" dataDxfId="417" totalsRowDxfId="416"/>
    <tableColumn id="9" name="Nature + Autres" dataDxfId="415" totalsRowDxfId="414"/>
    <tableColumn id="10" name="Retraite " dataDxfId="413" totalsRowDxfId="412"/>
    <tableColumn id="21" name="Part court-terme/financier" dataDxfId="411" totalsRowDxfId="410" dataCellStyle="Pourcentage">
      <calculatedColumnFormula>((J11*J7)*F2+(J24*J20)*G2+(J33*J29)*H2)/((J7*F2)+(J20*G2)+(J29*H2))</calculatedColumnFormula>
    </tableColumn>
    <tableColumn id="22" name="Part long-terme/financier" dataDxfId="409" totalsRowDxfId="408" dataCellStyle="Pourcentage">
      <calculatedColumnFormula>1-K2</calculatedColumnFormula>
    </tableColumn>
    <tableColumn id="15" name="Poids financier dans la rémunération variable" dataDxfId="407" totalsRowDxfId="406" dataCellStyle="Pourcentage">
      <calculatedColumnFormula>(J7*F2+J20*G2+J29*H2)
/(F2+G2+H2)</calculatedColumnFormula>
    </tableColumn>
    <tableColumn id="11" name="Poids financier dans la rémunération totale" totalsRowDxfId="405" dataCellStyle="Pourcentage">
      <calculatedColumnFormula>(J7*F2+J20*G2+J29*H2)/D2</calculatedColumnFormula>
    </tableColumn>
    <tableColumn id="12" name="Poids valeur actionnariale dans la rémunération totale" totalsRowDxfId="404">
      <calculatedColumnFormula>(F2*J10+G2*J23+H2*J32)/D2</calculatedColumnFormula>
    </tableColumn>
    <tableColumn id="13" name="Poids non financier dans la rémunération totale" totalsRowDxfId="403">
      <calculatedColumnFormula>(J8*F2+J21*G2+J30*H2)/D2</calculatedColumnFormula>
    </tableColumn>
    <tableColumn id="14" name="Poids non financier mesurable dans la rémunération totale" totalsRowDxfId="402">
      <calculatedColumnFormula>(J9*F2+J22*G2+J31*H2)/D2</calculatedColumnFormula>
    </tableColumn>
    <tableColumn id="16" name="Poids climatique dans la rémunération variable " totalsRowDxfId="401">
      <calculatedColumnFormula>(J13*F2+J26*G2+J35*H2)/(F2+G2+H2)</calculatedColumnFormula>
    </tableColumn>
    <tableColumn id="17" name="Poids climatique dans rémunération totale" totalsRowDxfId="400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7.xml><?xml version="1.0" encoding="utf-8"?>
<table xmlns="http://schemas.openxmlformats.org/spreadsheetml/2006/main" id="33" name="Table_3545634" displayName="Table_3545634" ref="A1:S2" headerRowDxfId="399">
  <tableColumns count="19">
    <tableColumn id="1" name="Nom"/>
    <tableColumn id="2" name="Entreprise"/>
    <tableColumn id="3" name="Poste"/>
    <tableColumn id="4" name="Rémunération _x000a_totale" dataDxfId="398">
      <calculatedColumnFormula>SUM(Table_3545634[[#This Row],[Fixe]:[Retraite ]])</calculatedColumnFormula>
    </tableColumn>
    <tableColumn id="5" name="Fixe"/>
    <tableColumn id="6" name="Variable"/>
    <tableColumn id="7" name="Bonus"/>
    <tableColumn id="8" name="Actions de performance" dataDxfId="397"/>
    <tableColumn id="9" name="Nature + Autres">
      <calculatedColumnFormula>44750+17587</calculatedColumnFormula>
    </tableColumn>
    <tableColumn id="10" name="Retraite "/>
    <tableColumn id="21" name="Part court-terme/financier" dataDxfId="396">
      <calculatedColumnFormula>((J11*J7)*F2+(J24*J20)*G2+(J33*J29)*H2)/((J7*F2)+(J20*G2)+(J29*H2))</calculatedColumnFormula>
    </tableColumn>
    <tableColumn id="22" name="Part long-terme/financier" dataDxfId="395">
      <calculatedColumnFormula>1-K2</calculatedColumnFormula>
    </tableColumn>
    <tableColumn id="15" name="Poids financier dans la rémunération variable" dataDxfId="394" dataCellStyle="Pourcentage">
      <calculatedColumnFormula>(J7*F2+J20*G2+J29*H2)
/(F2+G2+H2)</calculatedColumnFormula>
    </tableColumn>
    <tableColumn id="11" name="Poids financier dans la rémunération totale" dataDxfId="393">
      <calculatedColumnFormula>(J7*F2+J20*G2+J29*H2)/D2</calculatedColumnFormula>
    </tableColumn>
    <tableColumn id="12" name="Poids valeur actionnariale dans la rémunération totale" dataDxfId="392">
      <calculatedColumnFormula>(F2*J10+G2*J23+H2*J32)/D2</calculatedColumnFormula>
    </tableColumn>
    <tableColumn id="13" name="Poids non financier dans la rémunération totale" dataDxfId="391">
      <calculatedColumnFormula>(J8*F2+J21*G2+J30*H2)/D2</calculatedColumnFormula>
    </tableColumn>
    <tableColumn id="14" name="Poids non financier mesurable dans la rémunération totale" dataDxfId="390">
      <calculatedColumnFormula>(J9*F2+J22*G2+J31*H2)/D2</calculatedColumnFormula>
    </tableColumn>
    <tableColumn id="16" name="Poids climatique dans la rémunération variable " dataDxfId="389">
      <calculatedColumnFormula>(J13*F2+J26*G2+J35*H2)/(F2+G2+H2)</calculatedColumnFormula>
    </tableColumn>
    <tableColumn id="17" name="Poids climatique dans rémunération totale" dataDxfId="388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8.xml><?xml version="1.0" encoding="utf-8"?>
<table xmlns="http://schemas.openxmlformats.org/spreadsheetml/2006/main" id="64" name="Table_35456781011141516171819202122232427282930313233343536373839404365" displayName="Table_35456781011141516171819202122232427282930313233343536373839404365" ref="A1:S2" headerRowDxfId="387">
  <tableColumns count="19">
    <tableColumn id="1" name="Nom"/>
    <tableColumn id="2" name="Entreprise"/>
    <tableColumn id="3" name="Poste" dataDxfId="386"/>
    <tableColumn id="4" name="Rémunération _x000a_totale" dataDxfId="385">
      <calculatedColumnFormula>SUM(Table_35456781011141516171819202122232427282930313233343536373839404365[[#This Row],[Fixe]:[Retraite ]])</calculatedColumnFormula>
    </tableColumn>
    <tableColumn id="5" name="Fixe" dataDxfId="384"/>
    <tableColumn id="6" name="Variable" dataDxfId="383"/>
    <tableColumn id="7" name="Bonus" dataDxfId="382"/>
    <tableColumn id="8" name="Actions de performance" dataDxfId="381"/>
    <tableColumn id="9" name="Nature + Autres" dataDxfId="380"/>
    <tableColumn id="10" name="Retraite " dataDxfId="379"/>
    <tableColumn id="21" name="Part court-terme/financier" dataDxfId="378">
      <calculatedColumnFormula>((J11*J7)*F2+(J24*J20)*G2+(J33*J29)*H2)/((J7*F2)+(J20*G2)+(J29*H2))</calculatedColumnFormula>
    </tableColumn>
    <tableColumn id="22" name="Part long-terme/financier" dataDxfId="377">
      <calculatedColumnFormula>1-K2</calculatedColumnFormula>
    </tableColumn>
    <tableColumn id="15" name="Poids financier dans la rémunération variable" dataDxfId="376" dataCellStyle="Pourcentage">
      <calculatedColumnFormula>(J7*F2+J20*G2+J29*H2)
/(F2+G2+H2)</calculatedColumnFormula>
    </tableColumn>
    <tableColumn id="11" name="Poids financier dans la rémunération totale" dataDxfId="375" dataCellStyle="Pourcentage">
      <calculatedColumnFormula>(J7*F2+J20*G2+J29*H2)/D2</calculatedColumnFormula>
    </tableColumn>
    <tableColumn id="12" name="Poids valeur actionnariale dans la rémunération totale" dataDxfId="374">
      <calculatedColumnFormula>(F2*J10+G2*J23+H2*J32)/D2</calculatedColumnFormula>
    </tableColumn>
    <tableColumn id="13" name="Poids non financier dans la rémunération totale" dataDxfId="373">
      <calculatedColumnFormula>(J8*F2+J21*G2+J30*H2)/D2</calculatedColumnFormula>
    </tableColumn>
    <tableColumn id="14" name="Poids non financier mesurable dans la rémunération totale" dataDxfId="372">
      <calculatedColumnFormula>(J9*F2+J22*G2+J31*H2)/D2</calculatedColumnFormula>
    </tableColumn>
    <tableColumn id="16" name="Poids climatique dans la rémunération variable " dataDxfId="371">
      <calculatedColumnFormula>(J13*F2+J26*G2+J35*H2)/(F2+G2+H2)</calculatedColumnFormula>
    </tableColumn>
    <tableColumn id="17" name="Poids climatique dans rémunération totale" dataDxfId="370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19.xml><?xml version="1.0" encoding="utf-8"?>
<table xmlns="http://schemas.openxmlformats.org/spreadsheetml/2006/main" id="4" name="Table_35456785" displayName="Table_35456785" ref="A1:S2">
  <tableColumns count="19">
    <tableColumn id="1" name="Nom"/>
    <tableColumn id="2" name="Entreprise"/>
    <tableColumn id="3" name="Poste"/>
    <tableColumn id="4" name="Rémunération _x000a_totale" dataDxfId="369">
      <calculatedColumnFormula>SUM(Table_35456785[[#This Row],[Fixe]:[Retraite ]])</calculatedColumnFormula>
    </tableColumn>
    <tableColumn id="5" name="Fixe"/>
    <tableColumn id="6" name="Variable"/>
    <tableColumn id="7" name="Bonus"/>
    <tableColumn id="8" name="Actions de performance" dataDxfId="368"/>
    <tableColumn id="9" name="Nature + Autres"/>
    <tableColumn id="10" name="Retraite "/>
    <tableColumn id="21" name="Part court-terme/financier" dataDxfId="367">
      <calculatedColumnFormula>((J11*J7)*F2+(J24*J20)*G2+(J33*J29)*H2)/((J7*F2)+(J20*G2)+(J29*H2))</calculatedColumnFormula>
    </tableColumn>
    <tableColumn id="22" name="Part long-terme/financier" dataDxfId="366">
      <calculatedColumnFormula>1-K2</calculatedColumnFormula>
    </tableColumn>
    <tableColumn id="15" name="Poids financier dans la rémunération variable" dataDxfId="365" dataCellStyle="Pourcentage">
      <calculatedColumnFormula>(J7*F2+J20*G2+J29*H2)
/(F2+G2+H2)</calculatedColumnFormula>
    </tableColumn>
    <tableColumn id="11" name="Poids financier dans la rémunération totale" dataDxfId="364">
      <calculatedColumnFormula>(J7*F2+J20*G2+J29*H2)/D2</calculatedColumnFormula>
    </tableColumn>
    <tableColumn id="12" name="Poids valeur actionnariale dans la rémunération totale" dataDxfId="363">
      <calculatedColumnFormula>(F2*J10+G2*J23+H2*J32)/D2</calculatedColumnFormula>
    </tableColumn>
    <tableColumn id="13" name="Poids non financier dans la rémunération totale" dataDxfId="362">
      <calculatedColumnFormula>(J8*F2+J21*G2+J30*H2)/D2</calculatedColumnFormula>
    </tableColumn>
    <tableColumn id="14" name="Poids non financier mesurable dans la rémunération totale" dataDxfId="361">
      <calculatedColumnFormula>(J9*F2+J22*G2+J31*H2)/D2</calculatedColumnFormula>
    </tableColumn>
    <tableColumn id="16" name="Poids climatique dans la rémunération variable " dataDxfId="360">
      <calculatedColumnFormula>(J13*F2+J26*G2+J35*H2)/(F2+G2+H2)</calculatedColumnFormula>
    </tableColumn>
    <tableColumn id="17" name="Poids climatique dans rémunération totale" dataDxfId="359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.xml><?xml version="1.0" encoding="utf-8"?>
<table xmlns="http://schemas.openxmlformats.org/spreadsheetml/2006/main" id="1" name="Tableau1" displayName="Tableau1" ref="A1:W42" totalsRowCount="1" dataDxfId="634" totalsRowDxfId="633">
  <autoFilter ref="A1:W41"/>
  <sortState ref="A2:W41">
    <sortCondition ref="A1:A41"/>
  </sortState>
  <tableColumns count="23">
    <tableColumn id="1" name="nom " totalsRowLabel="Moyenne" dataDxfId="632" totalsRowDxfId="22"/>
    <tableColumn id="19" name="group" totalsRowLabel="CAC40" dataDxfId="631" totalsRowDxfId="21"/>
    <tableColumn id="13" name="year" totalsRowLabel="2022" dataDxfId="630" totalsRowDxfId="20"/>
    <tableColumn id="23" name="link _source_ Dividends+Buybacks" dataDxfId="629" totalsRowDxfId="19" dataCellStyle="Lien hypertexte"/>
    <tableColumn id="7" name="Dividends+Buybacks" totalsRowFunction="custom" dataDxfId="628" totalsRowDxfId="18">
      <totalsRowFormula>AVERAGE(Tableau1[Dividends+Buybacks])</totalsRowFormula>
    </tableColumn>
    <tableColumn id="2" name="link-source" dataDxfId="627" totalsRowDxfId="17" dataCellStyle="Lien hypertexte"/>
    <tableColumn id="24" name="currency" dataDxfId="626" totalsRowDxfId="16" dataCellStyle="Lien hypertexte"/>
    <tableColumn id="15" name="net_profit" totalsRowFunction="custom" dataDxfId="625" totalsRowDxfId="15" dataCellStyle="Lien hypertexte">
      <totalsRowFormula>AVERAGE(Tableau1[net_profit])</totalsRowFormula>
    </tableColumn>
    <tableColumn id="3" name="personnel_expenses" totalsRowFunction="custom" dataDxfId="624" totalsRowDxfId="14">
      <totalsRowFormula>AVERAGE(Tableau1[personnel_expenses])</totalsRowFormula>
    </tableColumn>
    <tableColumn id="4" name="number_of_employees" totalsRowFunction="custom" dataDxfId="623" totalsRowDxfId="13">
      <totalsRowFormula>AVERAGE(Tableau1[number_of_employees])</totalsRowFormula>
    </tableColumn>
    <tableColumn id="5" name="average_remuneration" totalsRowFunction="custom" dataDxfId="622" totalsRowDxfId="12">
      <calculatedColumnFormula>I2/J2</calculatedColumnFormula>
      <totalsRowFormula>AVERAGE(Tableau1[average_remuneration])</totalsRowFormula>
    </tableColumn>
    <tableColumn id="20" name="CEO_name" dataDxfId="621" totalsRowDxfId="11"/>
    <tableColumn id="22" name="CEO_surname" dataDxfId="620" totalsRowDxfId="10"/>
    <tableColumn id="21" name="CEO_gender" dataDxfId="619" totalsRowDxfId="9"/>
    <tableColumn id="6" name="CEO_remuneration" totalsRowFunction="custom" dataDxfId="618" totalsRowDxfId="8">
      <totalsRowFormula>AVERAGE(Tableau1[CEO_remuneration])</totalsRowFormula>
    </tableColumn>
    <tableColumn id="25" name="CEO_remuneration_fixe" totalsRowFunction="custom" dataDxfId="617" totalsRowDxfId="7">
      <totalsRowFormula>AVERAGE(Tableau1[CEO_remuneration_fixe])</totalsRowFormula>
    </tableColumn>
    <tableColumn id="26" name="CEO_remuneration_variable" totalsRowFunction="custom" dataDxfId="616" totalsRowDxfId="6">
      <totalsRowFormula>AVERAGE(Tableau1[CEO_remuneration_variable])</totalsRowFormula>
    </tableColumn>
    <tableColumn id="27" name="CEO_remuneration_bonus" totalsRowFunction="custom" dataDxfId="615" totalsRowDxfId="5">
      <totalsRowFormula>AVERAGE(Tableau1[CEO_remuneration_bonus])</totalsRowFormula>
    </tableColumn>
    <tableColumn id="28" name="CEO_remuneration_shares" totalsRowFunction="custom" dataDxfId="614" totalsRowDxfId="4">
      <totalsRowFormula>AVERAGE(Tableau1[CEO_remuneration_shares])</totalsRowFormula>
    </tableColumn>
    <tableColumn id="29" name="CEO_remuneration_other" totalsRowFunction="custom" dataDxfId="613" totalsRowDxfId="3">
      <totalsRowFormula>AVERAGE(Tableau1[CEO_remuneration_other])</totalsRowFormula>
    </tableColumn>
    <tableColumn id="30" name="CEO_remuneration_retirement" totalsRowFunction="custom" dataDxfId="612" totalsRowDxfId="2">
      <totalsRowFormula>AVERAGE(Tableau1[CEO_remuneration_retirement])</totalsRowFormula>
    </tableColumn>
    <tableColumn id="8" name="CEO-to-worker_wage_gap" totalsRowFunction="custom" dataDxfId="611" totalsRowDxfId="1">
      <calculatedColumnFormula>Tableau1[[#This Row],[CEO_remuneration]]/Tableau1[[#This Row],[average_remuneration]]</calculatedColumnFormula>
      <totalsRowFormula>AVERAGE(Tableau1[CEO-to-worker_wage_gap])</totalsRowFormula>
    </tableColumn>
    <tableColumn id="17" name="payout_ratio (dividends + buybacks / net profit)" totalsRowFunction="custom" dataDxfId="610" totalsRowDxfId="0" dataCellStyle="Pourcentage">
      <calculatedColumnFormula>Tableau1[[#This Row],[Dividends+Buybacks]]/Tableau1[[#This Row],[net_profit]]</calculatedColumnFormula>
      <totalsRowFormula>AVERAGE(Tableau1[payout_ratio (dividends + buybacks / net profit)])</totalsRowFormula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5" name="Table_354567810111415161718192021222324272829303132333435363738394041456" displayName="Table_354567810111415161718192021222324272829303132333435363738394041456" ref="A1:S2">
  <tableColumns count="19">
    <tableColumn id="1" name="Nom"/>
    <tableColumn id="2" name="Entreprise"/>
    <tableColumn id="3" name="Poste"/>
    <tableColumn id="4" name="Rémunération _x000a_totale" dataDxfId="358">
      <calculatedColumnFormula>SUM(Table_354567810111415161718192021222324272829303132333435363738394041456[[#This Row],[Fixe]:[Retraite ]])</calculatedColumnFormula>
    </tableColumn>
    <tableColumn id="5" name="Fixe" dataDxfId="357"/>
    <tableColumn id="6" name="Variable" dataDxfId="356"/>
    <tableColumn id="7" name="Stock Options"/>
    <tableColumn id="8" name="Actions de performance" dataDxfId="355"/>
    <tableColumn id="9" name="Nature + Autres" dataDxfId="354"/>
    <tableColumn id="10" name="Retraite " dataDxfId="353"/>
    <tableColumn id="21" name="Part court-terme/financier" dataDxfId="352"/>
    <tableColumn id="22" name="Part long-terme/financier" dataDxfId="351"/>
    <tableColumn id="15" name="Poids financier dans la rémunération variable" dataDxfId="350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349">
      <calculatedColumnFormula>(F2*J10+G2*J23+H2*J32)/D2</calculatedColumnFormula>
    </tableColumn>
    <tableColumn id="13" name="Poids non financier dans la rémunération totale" dataDxfId="348">
      <calculatedColumnFormula>(J8*F2+J21*G2+J30*H2)/D2</calculatedColumnFormula>
    </tableColumn>
    <tableColumn id="14" name="Poids non financier mesurable dans la rémunération totale" dataDxfId="347">
      <calculatedColumnFormula>(J9*F2+J22*G2+J31*H2)/D2</calculatedColumnFormula>
    </tableColumn>
    <tableColumn id="16" name="Poids climatique dans la rémunération variable " dataDxfId="346">
      <calculatedColumnFormula>(J13*F2+J26*G2+J35*H2)/(F2+G2+H2)</calculatedColumnFormula>
    </tableColumn>
    <tableColumn id="17" name="Poids climatique dans rémunération totale" dataDxfId="345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1.xml><?xml version="1.0" encoding="utf-8"?>
<table xmlns="http://schemas.openxmlformats.org/spreadsheetml/2006/main" id="7" name="Table_354567810111415161718192021222324272829303132338" displayName="Table_354567810111415161718192021222324272829303132338" ref="A1:S2">
  <tableColumns count="19">
    <tableColumn id="1" name="Nom"/>
    <tableColumn id="2" name="Entreprise"/>
    <tableColumn id="3" name="Poste"/>
    <tableColumn id="4" name="Rémunération _x000a_totale" dataDxfId="344">
      <calculatedColumnFormula>SUM(Table_354567810111415161718192021222324272829303132338[[#This Row],[Fixe]:[Retraite ]])</calculatedColumnFormula>
    </tableColumn>
    <tableColumn id="5" name="Fixe" dataDxfId="343"/>
    <tableColumn id="6" name="Variable" dataDxfId="342"/>
    <tableColumn id="7" name="Bonus"/>
    <tableColumn id="8" name="Actions de performance" dataDxfId="341"/>
    <tableColumn id="9" name="Nature + Autres" dataDxfId="340"/>
    <tableColumn id="10" name="Retraite " dataDxfId="339"/>
    <tableColumn id="21" name="Part court-terme/financier" dataDxfId="338">
      <calculatedColumnFormula>((J11*J7)*F2+(J24*J20)*G2+(J33*J29)*H2)/((J7*F2)+(J20*G2)+(J29*H2))</calculatedColumnFormula>
    </tableColumn>
    <tableColumn id="22" name="Part long-terme/financier" dataDxfId="337">
      <calculatedColumnFormula>1-K2</calculatedColumnFormula>
    </tableColumn>
    <tableColumn id="15" name="Poids financier dans la rémunération variable" dataDxfId="336" dataCellStyle="Pourcentage">
      <calculatedColumnFormula>(J7*F2+J20*G2+J29*H2)
/(F2+G2+H2)</calculatedColumnFormula>
    </tableColumn>
    <tableColumn id="11" name="Poids financier dans la rémunération totale" dataDxfId="335">
      <calculatedColumnFormula>(J7*F2+J20*G2+J29*H2)/D2</calculatedColumnFormula>
    </tableColumn>
    <tableColumn id="12" name="Poids valeur actionnariale dans la rémunération totale" dataDxfId="334">
      <calculatedColumnFormula>(F2*J10+G2*J23+H2*J32)/D2</calculatedColumnFormula>
    </tableColumn>
    <tableColumn id="13" name="Poids non financier dans la rémunération totale" dataDxfId="333">
      <calculatedColumnFormula>(J8*F2+J21*G2+J30*H2)/D2</calculatedColumnFormula>
    </tableColumn>
    <tableColumn id="14" name="Poids non financier mesurable dans la rémunération totale" dataDxfId="332">
      <calculatedColumnFormula>(J9*F2+J22*G2+J31*H2)/D2</calculatedColumnFormula>
    </tableColumn>
    <tableColumn id="16" name="Poids climatique dans la rémunération variable " dataDxfId="331">
      <calculatedColumnFormula>(J13*F2+J26*G2+J35*H2)/(F2+G2+H2)</calculatedColumnFormula>
    </tableColumn>
    <tableColumn id="17" name="Poids climatique dans rémunération totale" dataDxfId="330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2.xml><?xml version="1.0" encoding="utf-8"?>
<table xmlns="http://schemas.openxmlformats.org/spreadsheetml/2006/main" id="32" name="Table_35456733" displayName="Table_35456733" ref="A1:S2">
  <tableColumns count="19">
    <tableColumn id="1" name="Nom"/>
    <tableColumn id="2" name="Entreprise"/>
    <tableColumn id="3" name="Poste"/>
    <tableColumn id="4" name="Rémunération _x000a_totale" dataDxfId="329">
      <calculatedColumnFormula>SUM(Table_35456733[[#This Row],[Fixe]:[Retraite ]])</calculatedColumnFormula>
    </tableColumn>
    <tableColumn id="5" name="Fixe"/>
    <tableColumn id="6" name="Variable"/>
    <tableColumn id="7" name="Bonus"/>
    <tableColumn id="8" name="Actions de performance" dataDxfId="328"/>
    <tableColumn id="9" name="Nature + Autres">
      <calculatedColumnFormula>93931+52768</calculatedColumnFormula>
    </tableColumn>
    <tableColumn id="10" name="Retraite "/>
    <tableColumn id="21" name="Part court-terme/financier" dataDxfId="327">
      <calculatedColumnFormula>((J11*J7)*F2+(J24*J20)*G2+(J33*J29)*H2)/((J7*F2)+(J20*G2)+(J29*H2))</calculatedColumnFormula>
    </tableColumn>
    <tableColumn id="22" name="Part long-terme/financier" dataDxfId="326">
      <calculatedColumnFormula>1-K2</calculatedColumnFormula>
    </tableColumn>
    <tableColumn id="15" name="Poids financier dans la rémunération variable" dataDxfId="325" dataCellStyle="Pourcentage">
      <calculatedColumnFormula>(J7*F2+J20*G2+J29*H2)
/(F2+G2+H2)</calculatedColumnFormula>
    </tableColumn>
    <tableColumn id="11" name="Poids financier dans la rémunération totale" dataDxfId="324">
      <calculatedColumnFormula>(J7*F2+J20*G2+J29*H2)/D2</calculatedColumnFormula>
    </tableColumn>
    <tableColumn id="12" name="Poids valeur actionnariale dans la rémunération totale" dataDxfId="323">
      <calculatedColumnFormula>(F2*J10+G2*J23+H2*J32)/D2</calculatedColumnFormula>
    </tableColumn>
    <tableColumn id="13" name="Poids non financier dans la rémunération totale" dataDxfId="322">
      <calculatedColumnFormula>(J8*F2+J21*G2+J30*H2)/D2</calculatedColumnFormula>
    </tableColumn>
    <tableColumn id="14" name="Poids non financier mesurable dans la rémunération totale" dataDxfId="321">
      <calculatedColumnFormula>(J9*F2+J22*G2+J31*H2)/D2</calculatedColumnFormula>
    </tableColumn>
    <tableColumn id="16" name="Poids climatique dans la rémunération variable " dataDxfId="320">
      <calculatedColumnFormula>(J13*F2+J26*G2+J35*H2)/(F2+G2+H2)</calculatedColumnFormula>
    </tableColumn>
    <tableColumn id="17" name="Poids climatique dans rémunération totale" dataDxfId="319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3.xml><?xml version="1.0" encoding="utf-8"?>
<table xmlns="http://schemas.openxmlformats.org/spreadsheetml/2006/main" id="34" name="Table_35456781011141516171819202122232427282935" displayName="Table_35456781011141516171819202122232427282935" ref="A1:S2">
  <tableColumns count="19">
    <tableColumn id="1" name="Nom"/>
    <tableColumn id="2" name="Entreprise"/>
    <tableColumn id="3" name="Poste"/>
    <tableColumn id="4" name="Rémunération _x000a_totale" dataDxfId="318">
      <calculatedColumnFormula>SUM(Table_35456781011141516171819202122232427282935[[#This Row],[Fixe]:[Retraite ]])</calculatedColumnFormula>
    </tableColumn>
    <tableColumn id="5" name="Fixe"/>
    <tableColumn id="6" name="Variable"/>
    <tableColumn id="7" name="Bonus"/>
    <tableColumn id="8" name="Actions de performance" dataDxfId="317"/>
    <tableColumn id="9" name="Nature + Autres"/>
    <tableColumn id="10" name="Retraite " dataDxfId="316"/>
    <tableColumn id="21" name="Part court-terme/financier" dataDxfId="315">
      <calculatedColumnFormula>((J11*J7)*F2+(J24*J20)*G2+(J33*J29)*H2)/((J7*F2)+(J20*G2)+(J29*H2))</calculatedColumnFormula>
    </tableColumn>
    <tableColumn id="22" name="Part long-terme/financier" dataDxfId="314">
      <calculatedColumnFormula>1-K2</calculatedColumnFormula>
    </tableColumn>
    <tableColumn id="15" name="Poids financier dans la rémunération variable" dataDxfId="313" dataCellStyle="Pourcentage">
      <calculatedColumnFormula>(J7*F2+J20*G2+J29*H2)
/(F2+G2+H2)</calculatedColumnFormula>
    </tableColumn>
    <tableColumn id="11" name="Poids financier dans la rémunération totale" dataDxfId="312">
      <calculatedColumnFormula>(J7*F2+J20*G2+J29*H2)/D2</calculatedColumnFormula>
    </tableColumn>
    <tableColumn id="12" name="Poids valeur actionnariale dans la rémunération totale" dataDxfId="311">
      <calculatedColumnFormula>(F2*J10+G2*J23+H2*J32)/D2</calculatedColumnFormula>
    </tableColumn>
    <tableColumn id="13" name="Poids non financier dans la rémunération totale" dataDxfId="310">
      <calculatedColumnFormula>(J8*F2+J21*G2+J30*H2)/D2</calculatedColumnFormula>
    </tableColumn>
    <tableColumn id="14" name="Poids non financier mesurable dans la rémunération totale" dataDxfId="309">
      <calculatedColumnFormula>(J9*F2+J22*G2+J31*H2)/D2</calculatedColumnFormula>
    </tableColumn>
    <tableColumn id="16" name="Poids climatique dans la rémunération variable " dataDxfId="308">
      <calculatedColumnFormula>(J13*F2+J26*G2+J35*H2)/(F2+G2+H2)</calculatedColumnFormula>
    </tableColumn>
    <tableColumn id="17" name="Poids climatique dans rémunération totale" dataDxfId="307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4.xml><?xml version="1.0" encoding="utf-8"?>
<table xmlns="http://schemas.openxmlformats.org/spreadsheetml/2006/main" id="35" name="Table_3545678101136" displayName="Table_3545678101136" ref="A1:S2">
  <tableColumns count="19">
    <tableColumn id="1" name="Nom"/>
    <tableColumn id="2" name="Entreprise"/>
    <tableColumn id="3" name="Poste"/>
    <tableColumn id="4" name="Rémunération _x000a_totale" dataDxfId="306">
      <calculatedColumnFormula>SUM(Table_3545678101136[[#This Row],[Fixe]:[Retraite ]])</calculatedColumnFormula>
    </tableColumn>
    <tableColumn id="5" name="Fixe"/>
    <tableColumn id="6" name="Variable"/>
    <tableColumn id="7" name="Bonus"/>
    <tableColumn id="8" name="Actions de performance" dataDxfId="305"/>
    <tableColumn id="9" name="Nature + Autres"/>
    <tableColumn id="10" name="Retraite " dataDxfId="304"/>
    <tableColumn id="21" name="Part court-terme/financier" dataDxfId="303">
      <calculatedColumnFormula>((J11*J7)*F2+(J24*J20)*G2+(J33*J29)*H2)/((J7*F2)+(J20*G2)+(J29*H2))</calculatedColumnFormula>
    </tableColumn>
    <tableColumn id="22" name="Part long-terme/financier" dataDxfId="302">
      <calculatedColumnFormula>1-K2</calculatedColumnFormula>
    </tableColumn>
    <tableColumn id="15" name="Poids financier dans la rémunération variable" dataDxfId="301" dataCellStyle="Pourcentage">
      <calculatedColumnFormula>(J7*F2+J20*G2+J29*H2)
/(F2+G2+H2)</calculatedColumnFormula>
    </tableColumn>
    <tableColumn id="11" name="Poids financier dans la rémunération totale" dataDxfId="300">
      <calculatedColumnFormula>(J7*F2+J20*G2+J29*H2)/D2</calculatedColumnFormula>
    </tableColumn>
    <tableColumn id="12" name="Poids valeur actionnariale dans la rémunération totale" dataDxfId="299">
      <calculatedColumnFormula>(F2*J10+G2*J23+H2*J32)/D2</calculatedColumnFormula>
    </tableColumn>
    <tableColumn id="13" name="Poids non financier dans la rémunération totale" dataDxfId="298">
      <calculatedColumnFormula>(J8*F2+J21*G2+J30*H2)/D2</calculatedColumnFormula>
    </tableColumn>
    <tableColumn id="14" name="Poids non financier mesurable dans la rémunération totale" dataDxfId="297">
      <calculatedColumnFormula>(J9*F2+J22*G2+J31*H2)/D2</calculatedColumnFormula>
    </tableColumn>
    <tableColumn id="16" name="Poids climatique dans la rémunération variable " dataDxfId="296">
      <calculatedColumnFormula>(J13*F2+J26*G2+J35*H2)/(F2+G2+H2)</calculatedColumnFormula>
    </tableColumn>
    <tableColumn id="17" name="Poids climatique dans rémunération totale" dataDxfId="295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5.xml><?xml version="1.0" encoding="utf-8"?>
<table xmlns="http://schemas.openxmlformats.org/spreadsheetml/2006/main" id="43" name="Table_35456781011141544" displayName="Table_35456781011141544" ref="A1:S2">
  <tableColumns count="19">
    <tableColumn id="1" name="Nom"/>
    <tableColumn id="2" name="Entreprise"/>
    <tableColumn id="3" name="Poste"/>
    <tableColumn id="4" name="Rémunération _x000a_totale" dataDxfId="294">
      <calculatedColumnFormula>SUM(Table_35456781011141544[[#This Row],[Fixe]:[Retraite ]])</calculatedColumnFormula>
    </tableColumn>
    <tableColumn id="5" name="Fixe"/>
    <tableColumn id="6" name="Variable"/>
    <tableColumn id="7" name="Bonus"/>
    <tableColumn id="8" name="Actions de performance" dataDxfId="293"/>
    <tableColumn id="9" name="Nature + Autres">
      <calculatedColumnFormula>77625+41706</calculatedColumnFormula>
    </tableColumn>
    <tableColumn id="10" name="Retraite " dataDxfId="292"/>
    <tableColumn id="21" name="Part court-terme/financier" dataDxfId="291">
      <calculatedColumnFormula>((J11*J7)*F2+(J24*J20)*G2+(J33*J29)*H2)/((J7*F2)+(J20*G2)+(J29*H2))</calculatedColumnFormula>
    </tableColumn>
    <tableColumn id="22" name="Part long-terme/financier" dataDxfId="290">
      <calculatedColumnFormula>1-K2</calculatedColumnFormula>
    </tableColumn>
    <tableColumn id="15" name="Poids financier dans la rémunération variable" dataDxfId="289" dataCellStyle="Pourcentage">
      <calculatedColumnFormula>(J7*F2+J20*G2+J29*H2)
/(F2+G2+H2)</calculatedColumnFormula>
    </tableColumn>
    <tableColumn id="11" name="Poids financier dans la rémunération totale" dataDxfId="288">
      <calculatedColumnFormula>(J7*F2+J20*G2+J29*H2)/D2</calculatedColumnFormula>
    </tableColumn>
    <tableColumn id="12" name="Poids valeur actionnariale dans la rémunération totale" dataDxfId="287">
      <calculatedColumnFormula>(F2*J10+G2*J23+H2*J32)/D2</calculatedColumnFormula>
    </tableColumn>
    <tableColumn id="13" name="Poids non financier dans la rémunération totale" dataDxfId="286">
      <calculatedColumnFormula>(J8*F2+J21*G2+J30*H2)/D2</calculatedColumnFormula>
    </tableColumn>
    <tableColumn id="14" name="Poids non financier mesurable dans la rémunération totale" dataDxfId="285">
      <calculatedColumnFormula>(J9*F2+J22*G2+J31*H2)/D2</calculatedColumnFormula>
    </tableColumn>
    <tableColumn id="16" name="Poids climatique dans la rémunération variable " dataDxfId="284">
      <calculatedColumnFormula>(J13*F2+J26*G2+J35*H2)/(F2+G2+H2)</calculatedColumnFormula>
    </tableColumn>
    <tableColumn id="17" name="Poids climatique dans rémunération totale" dataDxfId="283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6.xml><?xml version="1.0" encoding="utf-8"?>
<table xmlns="http://schemas.openxmlformats.org/spreadsheetml/2006/main" id="6" name="Table_354567810111415161718192021222324257" displayName="Table_354567810111415161718192021222324257" ref="A1:S2">
  <tableColumns count="19">
    <tableColumn id="1" name="Nom"/>
    <tableColumn id="2" name="Entreprise"/>
    <tableColumn id="3" name="Poste"/>
    <tableColumn id="4" name="Rémunération _x000a_totale" dataDxfId="282">
      <calculatedColumnFormula>SUM(Table_354567810111415161718192021222324257[[#This Row],[Fixe]:[Retraite ]])</calculatedColumnFormula>
    </tableColumn>
    <tableColumn id="5" name="Fixe"/>
    <tableColumn id="6" name="Variable"/>
    <tableColumn id="7" name="Bonus"/>
    <tableColumn id="8" name="Actions de performance" dataDxfId="281"/>
    <tableColumn id="9" name="Nature + Autres"/>
    <tableColumn id="10" name="Retraite " dataDxfId="280"/>
    <tableColumn id="21" name="Part court-terme/financier" dataDxfId="279">
      <calculatedColumnFormula>((J11*J7)*F2+(J24*J20)*G2+(J33*J29)*H2)/((J7*F2)+(J20*G2)+(J29*H2))</calculatedColumnFormula>
    </tableColumn>
    <tableColumn id="22" name="Part long-terme/financier" dataDxfId="278">
      <calculatedColumnFormula>1-K2</calculatedColumnFormula>
    </tableColumn>
    <tableColumn id="15" name="Poids financier dans la rémunération variable" dataDxfId="277" dataCellStyle="Pourcentage">
      <calculatedColumnFormula>(J7*F2+J20*G2+J29*H2)
/(F2+G2+H2)</calculatedColumnFormula>
    </tableColumn>
    <tableColumn id="11" name="Poids financier dans la rémunération totale" dataDxfId="276">
      <calculatedColumnFormula>(J7*F2+J20*G2+J29*H2)/D2</calculatedColumnFormula>
    </tableColumn>
    <tableColumn id="12" name="Poids valeur actionnariale dans la rémunération totale" dataDxfId="275">
      <calculatedColumnFormula>(F2*J10+G2*J23+H2*J32)/D2</calculatedColumnFormula>
    </tableColumn>
    <tableColumn id="13" name="Poids non financier dans la rémunération totale" dataDxfId="274">
      <calculatedColumnFormula>(J8*F2+J21*G2+J30*H2)/D2</calculatedColumnFormula>
    </tableColumn>
    <tableColumn id="14" name="Poids non financier mesurable dans la rémunération totale" dataDxfId="273">
      <calculatedColumnFormula>(J9*F2+J22*G2+J31*H2)/D2</calculatedColumnFormula>
    </tableColumn>
    <tableColumn id="16" name="Poids climatique dans la rémunération variable " dataDxfId="272">
      <calculatedColumnFormula>(J13*F2+J26*G2+J35*H2)/(F2+G2+H2)</calculatedColumnFormula>
    </tableColumn>
    <tableColumn id="17" name="Poids climatique dans rémunération totale" dataDxfId="271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7.xml><?xml version="1.0" encoding="utf-8"?>
<table xmlns="http://schemas.openxmlformats.org/spreadsheetml/2006/main" id="10" name="Table_3545678101114151617181920212223242728293031323334353637383911" displayName="Table_3545678101114151617181920212223242728293031323334353637383911" ref="A1:S2">
  <tableColumns count="19">
    <tableColumn id="1" name="Nom"/>
    <tableColumn id="2" name="Entreprise"/>
    <tableColumn id="3" name="Poste"/>
    <tableColumn id="4" name="Rémunération _x000a_totale" dataDxfId="270">
      <calculatedColumnFormula>SUM(Table_3545678101114151617181920212223242728293031323334353637383911[[#This Row],[Fixe]:[Retraite ]])</calculatedColumnFormula>
    </tableColumn>
    <tableColumn id="5" name="Fixe" dataDxfId="269"/>
    <tableColumn id="6" name="Variable" dataDxfId="268"/>
    <tableColumn id="7" name="Bonus"/>
    <tableColumn id="8" name="Actions de performance" dataDxfId="267"/>
    <tableColumn id="9" name="Nature + Autres" dataDxfId="266">
      <calculatedColumnFormula>25583+73352</calculatedColumnFormula>
    </tableColumn>
    <tableColumn id="10" name="Retraite " dataDxfId="265"/>
    <tableColumn id="21" name="Part court-terme/financier" dataDxfId="264">
      <calculatedColumnFormula>((J11*J7)*F2+(J24*J20)*G2+(J33*J29)*H2)/((J7*F2)+(J20*G2)+(J29*H2))</calculatedColumnFormula>
    </tableColumn>
    <tableColumn id="22" name="Part long-terme/financier" dataDxfId="263">
      <calculatedColumnFormula>1-K2</calculatedColumnFormula>
    </tableColumn>
    <tableColumn id="15" name="Poids financier dans la rémunération variable" dataDxfId="262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261">
      <calculatedColumnFormula>(F2*J10+G2*J23+H2*J32)/D2</calculatedColumnFormula>
    </tableColumn>
    <tableColumn id="13" name="Poids non financier dans la rémunération totale" dataDxfId="260">
      <calculatedColumnFormula>(J8*F2+J21*G2+J30*H2)/D2</calculatedColumnFormula>
    </tableColumn>
    <tableColumn id="14" name="Poids non financier mesurable dans la rémunération totale" dataDxfId="259">
      <calculatedColumnFormula>(J9*F2+J22*G2+J31*H2)/D2</calculatedColumnFormula>
    </tableColumn>
    <tableColumn id="16" name="Poids climatique dans la rémunération variable " dataDxfId="258">
      <calculatedColumnFormula>(J13*F2+J26*G2+J35*H2)/(F2+G2+H2)</calculatedColumnFormula>
    </tableColumn>
    <tableColumn id="17" name="Poids climatique dans rémunération totale" dataDxfId="257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8.xml><?xml version="1.0" encoding="utf-8"?>
<table xmlns="http://schemas.openxmlformats.org/spreadsheetml/2006/main" id="14" name="Table_354567810111415161718192021222315" displayName="Table_354567810111415161718192021222315" ref="A1:S2">
  <tableColumns count="19">
    <tableColumn id="1" name="Nom"/>
    <tableColumn id="2" name="Entreprise"/>
    <tableColumn id="3" name="Poste"/>
    <tableColumn id="4" name="Rémunération _x000a_totale" dataDxfId="256">
      <calculatedColumnFormula>SUM(Table_354567810111415161718192021222315[[#This Row],[Fixe]:[Retraite ]])</calculatedColumnFormula>
    </tableColumn>
    <tableColumn id="5" name="Fixe" dataDxfId="255" dataCellStyle="Monétaire"/>
    <tableColumn id="6" name="Variable" dataDxfId="254" dataCellStyle="Monétaire"/>
    <tableColumn id="7" name="Bonus" dataDxfId="253" dataCellStyle="Monétaire"/>
    <tableColumn id="8" name="Actions de performance" dataDxfId="252" dataCellStyle="Monétaire"/>
    <tableColumn id="9" name="Nature + Autres" dataDxfId="251" dataCellStyle="Monétaire"/>
    <tableColumn id="10" name="Retraite " dataDxfId="250" dataCellStyle="Monétaire">
      <calculatedColumnFormula>349916+350000</calculatedColumnFormula>
    </tableColumn>
    <tableColumn id="21" name="Part court-terme/financier" dataDxfId="249">
      <calculatedColumnFormula>((J11*J7)*F2+(J24*J20)*G2+(J33*J29)*H2)/((J7*F2)+(J20*G2)+(J29*H2))</calculatedColumnFormula>
    </tableColumn>
    <tableColumn id="22" name="Part long-terme/financier" dataDxfId="248">
      <calculatedColumnFormula>1-K2</calculatedColumnFormula>
    </tableColumn>
    <tableColumn id="15" name="Poids financier dans la rémunération variable" dataDxfId="247" dataCellStyle="Pourcentage">
      <calculatedColumnFormula>(J7*F2+J20*G2+J29*H2)
/(F2+G2+H2)</calculatedColumnFormula>
    </tableColumn>
    <tableColumn id="11" name="Poids financier dans la rémunération totale" dataDxfId="246">
      <calculatedColumnFormula>(J7*F2+J20*G2+J29*H2)/D2</calculatedColumnFormula>
    </tableColumn>
    <tableColumn id="12" name="Poids valeur actionnariale dans la rémunération totale" dataDxfId="245">
      <calculatedColumnFormula>(F2*J10+G2*J23+H2*J32)/D2</calculatedColumnFormula>
    </tableColumn>
    <tableColumn id="13" name="Poids non financier dans la rémunération totale" dataDxfId="244">
      <calculatedColumnFormula>(J8*F2+J21*G2+J30*H2)/D2</calculatedColumnFormula>
    </tableColumn>
    <tableColumn id="14" name="Poids non financier mesurable dans la rémunération totale" dataDxfId="243">
      <calculatedColumnFormula>(J9*F2+J22*G2+J31*H2)/D2</calculatedColumnFormula>
    </tableColumn>
    <tableColumn id="16" name="Poids climatique dans la rémunération variable " dataDxfId="242">
      <calculatedColumnFormula>(J13*F2+J26*G2+J35*H2)/(F2+G2+H2)</calculatedColumnFormula>
    </tableColumn>
    <tableColumn id="17" name="Poids climatique dans rémunération totale" dataDxfId="241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29.xml><?xml version="1.0" encoding="utf-8"?>
<table xmlns="http://schemas.openxmlformats.org/spreadsheetml/2006/main" id="15" name="Table_35456781011141516171819202122232416" displayName="Table_35456781011141516171819202122232416" ref="A1:S2">
  <tableColumns count="19">
    <tableColumn id="1" name="Nom"/>
    <tableColumn id="2" name="Entreprise"/>
    <tableColumn id="3" name="Poste"/>
    <tableColumn id="4" name="Rémunération _x000a_totale" dataDxfId="240">
      <calculatedColumnFormula>SUM(Table_35456781011141516171819202122232416[[#This Row],[Fixe]:[Retraite ]])</calculatedColumnFormula>
    </tableColumn>
    <tableColumn id="5" name="Fixe"/>
    <tableColumn id="6" name="Variable"/>
    <tableColumn id="7" name="Bonus"/>
    <tableColumn id="8" name="Actions de performance" dataDxfId="239"/>
    <tableColumn id="9" name="Nature + Autres"/>
    <tableColumn id="10" name="Retraite " dataDxfId="238"/>
    <tableColumn id="21" name="Part court-terme/financier" dataDxfId="237">
      <calculatedColumnFormula>((J11*J7)*F2+(J24*J20)*G2+(J33*J29)*H2)/((J7*F2)+(J20*G2)+(J29*H2))</calculatedColumnFormula>
    </tableColumn>
    <tableColumn id="22" name="Part long-terme/financier" dataDxfId="236">
      <calculatedColumnFormula>1-K2</calculatedColumnFormula>
    </tableColumn>
    <tableColumn id="15" name="Poids financier dans la rémunération variable" dataDxfId="235" dataCellStyle="Pourcentage">
      <calculatedColumnFormula>(J7*F2+J20*G2+J29*H2)
/(F2+G2+H2)</calculatedColumnFormula>
    </tableColumn>
    <tableColumn id="11" name="Poids financier dans la rémunération totale" dataDxfId="234">
      <calculatedColumnFormula>(J7*F2+J20*G2+J29*H2)/D2</calculatedColumnFormula>
    </tableColumn>
    <tableColumn id="12" name="Poids valeur actionnariale dans la rémunération totale" dataDxfId="233">
      <calculatedColumnFormula>(F2*J10+G2*J23+H2*J32)/D2</calculatedColumnFormula>
    </tableColumn>
    <tableColumn id="13" name="Poids non financier dans la rémunération totale" dataDxfId="232">
      <calculatedColumnFormula>(J8*F2+J21*G2+J30*H2)/D2</calculatedColumnFormula>
    </tableColumn>
    <tableColumn id="14" name="Poids non financier mesurable dans la rémunération totale" dataDxfId="231">
      <calculatedColumnFormula>(J9*F2+J22*G2+J31*H2)/D2</calculatedColumnFormula>
    </tableColumn>
    <tableColumn id="16" name="Poids climatique dans la rémunération variable " dataDxfId="230">
      <calculatedColumnFormula>(J13*F2+J26*G2+J35*H2)/(F2+G2+H2)</calculatedColumnFormula>
    </tableColumn>
    <tableColumn id="17" name="Poids climatique dans rémunération totale" dataDxfId="229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.xml><?xml version="1.0" encoding="utf-8"?>
<table xmlns="http://schemas.openxmlformats.org/spreadsheetml/2006/main" id="8" name="Tableau8" displayName="Tableau8" ref="A1:AD41" totalsRowShown="0" headerRowDxfId="609" dataDxfId="607" headerRowBorderDxfId="608" tableBorderDxfId="606">
  <autoFilter ref="A1:AD41">
    <filterColumn colId="6">
      <filters>
        <filter val="H"/>
      </filters>
    </filterColumn>
  </autoFilter>
  <sortState ref="A2:Z41">
    <sortCondition ref="A1:A41"/>
  </sortState>
  <tableColumns count="30">
    <tableColumn id="1" name="nom " dataDxfId="605"/>
    <tableColumn id="2" name="group" dataDxfId="604"/>
    <tableColumn id="3" name="year" dataDxfId="603"/>
    <tableColumn id="4" name="link-source" dataDxfId="602" dataCellStyle="Lien hypertexte"/>
    <tableColumn id="5" name="CEO_name" dataDxfId="601"/>
    <tableColumn id="6" name="CEO_surname" dataDxfId="600"/>
    <tableColumn id="7" name="CEO_gender" dataDxfId="599"/>
    <tableColumn id="8" name="Rémunération _x000a_totale" dataDxfId="598"/>
    <tableColumn id="9" name="Fixe" dataDxfId="597"/>
    <tableColumn id="10" name="Variable" dataDxfId="596"/>
    <tableColumn id="11" name="Bonus" dataDxfId="595"/>
    <tableColumn id="12" name="Actions de performance" dataDxfId="594"/>
    <tableColumn id="13" name="Nature + Autres" dataDxfId="593"/>
    <tableColumn id="14" name="Retraite " dataDxfId="592"/>
    <tableColumn id="22" name="Part court-terme/financier" dataDxfId="591"/>
    <tableColumn id="24" name="Part long-terme/financier" dataDxfId="590"/>
    <tableColumn id="26" name="Poids financier dans la rémunération variable" dataDxfId="589"/>
    <tableColumn id="27" name="Poids financier dans la rémunération totale" dataDxfId="588" dataCellStyle="Pourcentage"/>
    <tableColumn id="16" name="Part de la valeur actionnariale dans la rémunération variable (%)" dataDxfId="587">
      <calculatedColumnFormula>Tableau8[[#This Row],[Poids valeur actionnariale dans la rémunération totale]]*(AB2:AC2)</calculatedColumnFormula>
    </tableColumn>
    <tableColumn id="23" name="Poids valeur actionnariale dans la rémunération totale" dataDxfId="586"/>
    <tableColumn id="19" name="Poids non financier dans la rémunération variable (%)" dataDxfId="585" dataCellStyle="Pourcentage">
      <calculatedColumnFormula>((V2*H2)/(J2+K2+L2))*100</calculatedColumnFormula>
    </tableColumn>
    <tableColumn id="25" name="Poids non financier dans la rémunération totale" dataDxfId="584">
      <calculatedColumnFormula>(Tableau8[[#This Row],[Poids valeur actionnariale dans la rémunération totale]]/Tableau8[[#This Row],[Poids non financier mesurable dans la rémunération totale]])*Tableau8[[#This Row],[Poids climatique dans la rémunération variable ]]</calculatedColumnFormula>
    </tableColumn>
    <tableColumn id="20" name="Part non financière mesurable dans la rémunération variable (%)" dataDxfId="583" dataCellStyle="Milliers">
      <calculatedColumnFormula>((X2*H2)/(J2+K2+L2))*100</calculatedColumnFormula>
    </tableColumn>
    <tableColumn id="17" name="Poids non financier mesurable dans la rémunération totale" dataDxfId="582"/>
    <tableColumn id="18" name="Poids climatique dans la rémunération variable " dataDxfId="581"/>
    <tableColumn id="15" name="Poids climatique dans rémunération totale" dataDxfId="580"/>
    <tableColumn id="21" name="Part fixe dans la rémunération totale" dataDxfId="579">
      <calculatedColumnFormula>Tableau8[[#This Row],[Fixe]]/Tableau8[[#This Row],[Rémunération 
totale]]</calculatedColumnFormula>
    </tableColumn>
    <tableColumn id="28" name="Part variable dans la rémunération totale" dataDxfId="578">
      <calculatedColumnFormula>(Tableau8[[#This Row],[Variable]]+Tableau8[[#This Row],[Bonus]])/Tableau8[[#This Row],[Rémunération 
totale]]</calculatedColumnFormula>
    </tableColumn>
    <tableColumn id="29" name="Part en actions de performance dans la rémunération totale" dataDxfId="577">
      <calculatedColumnFormula>Tableau8[[#This Row],[Actions de performance]]/Tableau8[[#This Row],[Rémunération 
totale]]</calculatedColumnFormula>
    </tableColumn>
    <tableColumn id="30" name="Part des autres composantes dans la rémunération totale" dataDxfId="576">
      <calculatedColumnFormula>(Tableau8[[#This Row],[Nature + Autres]]+Tableau8[[#This Row],[Retraite ]])/Tableau8[[#This Row],[Rémunération 
totale]]</calculatedColumnFormula>
    </tableColumn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22" name="Table_3545678101114151617181920212223" displayName="Table_3545678101114151617181920212223" ref="A1:S2">
  <tableColumns count="19">
    <tableColumn id="1" name="Nom"/>
    <tableColumn id="2" name="Entreprise"/>
    <tableColumn id="3" name="Poste"/>
    <tableColumn id="4" name="Rémunération _x000a_totale" dataDxfId="228">
      <calculatedColumnFormula>SUM(Table_3545678101114151617181920212223[[#This Row],[Fixe]:[Retraite ]])</calculatedColumnFormula>
    </tableColumn>
    <tableColumn id="5" name="Fixe"/>
    <tableColumn id="6" name="Variable"/>
    <tableColumn id="7" name="Plan de co-investissement"/>
    <tableColumn id="8" name="Actions de performance" dataDxfId="227"/>
    <tableColumn id="9" name="Nature + Autres"/>
    <tableColumn id="10" name="Retraite " dataDxfId="226"/>
    <tableColumn id="21" name="Part court-terme/financier" dataDxfId="225">
      <calculatedColumnFormula>((J11*J7)*F2+(J24*J20)*G2+(J33*J29)*H2)/((J7*F2)+(J20*G2)+(J29*H2))</calculatedColumnFormula>
    </tableColumn>
    <tableColumn id="22" name="Part long-terme/financier" dataDxfId="224">
      <calculatedColumnFormula>1-K2</calculatedColumnFormula>
    </tableColumn>
    <tableColumn id="15" name="Poids financier dans la rémunération variable" dataDxfId="223" dataCellStyle="Pourcentage">
      <calculatedColumnFormula>(J7*F2+J20*G2+J29*H2)
/(F2+G2+H2)</calculatedColumnFormula>
    </tableColumn>
    <tableColumn id="11" name="Poids financier dans la rémunération totale" dataDxfId="222">
      <calculatedColumnFormula>(J7*F2+J20*G2+J29*H2)/D2</calculatedColumnFormula>
    </tableColumn>
    <tableColumn id="12" name="Poids valeur actionnariale dans la rémunération totale" dataDxfId="221">
      <calculatedColumnFormula>(F2*J10+G2*J23+H2*J32)/D2</calculatedColumnFormula>
    </tableColumn>
    <tableColumn id="13" name="Poids non financier dans la rémunération totale" dataDxfId="220">
      <calculatedColumnFormula>(J8*F2+J21*G2+J30*H2)/D2</calculatedColumnFormula>
    </tableColumn>
    <tableColumn id="14" name="Poids non financier mesurable dans la rémunération totale" dataDxfId="219">
      <calculatedColumnFormula>(J9*F2+J22*G2+J31*H2)/D2</calculatedColumnFormula>
    </tableColumn>
    <tableColumn id="16" name="Poids climatique dans la rémunération variable " dataDxfId="218">
      <calculatedColumnFormula>(J13*F2+J26*G2+J35*H2)/(F2+G2+H2)</calculatedColumnFormula>
    </tableColumn>
    <tableColumn id="17" name="Poids climatique dans rémunération totale" dataDxfId="217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1.xml><?xml version="1.0" encoding="utf-8"?>
<table xmlns="http://schemas.openxmlformats.org/spreadsheetml/2006/main" id="23" name="Table_354567810111415161718192021222324272829303132333435363724" displayName="Table_354567810111415161718192021222324272829303132333435363724" ref="A1:S2">
  <tableColumns count="19">
    <tableColumn id="1" name="Nom"/>
    <tableColumn id="2" name="Entreprise"/>
    <tableColumn id="3" name="Poste"/>
    <tableColumn id="4" name="Rémunération _x000a_totale" dataDxfId="216">
      <calculatedColumnFormula>SUM(Table_354567810111415161718192021222324272829303132333435363724[[#This Row],[Fixe]:[Retraite ]])</calculatedColumnFormula>
    </tableColumn>
    <tableColumn id="5" name="Fixe" dataDxfId="215"/>
    <tableColumn id="6" name="Variable" dataDxfId="214"/>
    <tableColumn id="7" name="Bonus"/>
    <tableColumn id="8" name="Actions de performance" dataDxfId="213"/>
    <tableColumn id="9" name="Nature + Autres" dataDxfId="212"/>
    <tableColumn id="10" name="Retraite " dataDxfId="211"/>
    <tableColumn id="21" name="Part court-terme/financier" dataDxfId="210">
      <calculatedColumnFormula>((J11*J7)*F2+(J24*J20)*G2+(J33*J29)*H2)/((J7*F2)+(J20*G2)+(J29*H2))</calculatedColumnFormula>
    </tableColumn>
    <tableColumn id="22" name="Part long-terme/financier" dataDxfId="209">
      <calculatedColumnFormula>1-K2</calculatedColumnFormula>
    </tableColumn>
    <tableColumn id="15" name="Poids financier dans la rémunération variable" dataDxfId="208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207">
      <calculatedColumnFormula>(F2*J10+G2*J23+H2*J32)/D2</calculatedColumnFormula>
    </tableColumn>
    <tableColumn id="13" name="Poids non financier dans la rémunération totale" dataDxfId="206">
      <calculatedColumnFormula>(J8*F2+J21*G2+J30*H2)/D2</calculatedColumnFormula>
    </tableColumn>
    <tableColumn id="14" name="Poids non financier mesurable dans la rémunération totale" dataDxfId="205">
      <calculatedColumnFormula>(J9*F2+J22*G2+J31*H2)/D2</calculatedColumnFormula>
    </tableColumn>
    <tableColumn id="16" name="Poids climatique dans la rémunération variable " dataDxfId="204">
      <calculatedColumnFormula>(J13*F2+J26*G2+J35*H2)/(F2+G2+H2)</calculatedColumnFormula>
    </tableColumn>
    <tableColumn id="17" name="Poids climatique dans rémunération totale" dataDxfId="203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2.xml><?xml version="1.0" encoding="utf-8"?>
<table xmlns="http://schemas.openxmlformats.org/spreadsheetml/2006/main" id="24" name="Table_35456781011141516171819202125" displayName="Table_35456781011141516171819202125" ref="A1:S2">
  <tableColumns count="19">
    <tableColumn id="1" name="Nom"/>
    <tableColumn id="2" name="Entreprise"/>
    <tableColumn id="3" name="Poste" dataDxfId="202"/>
    <tableColumn id="4" name="Rémunération _x000a_totale" dataDxfId="201">
      <calculatedColumnFormula>SUM(Table_35456781011141516171819202125[[#This Row],[Fixe]:[Retraite ]])</calculatedColumnFormula>
    </tableColumn>
    <tableColumn id="5" name="Fixe" dataDxfId="200"/>
    <tableColumn id="6" name="Variable" dataDxfId="199"/>
    <tableColumn id="7" name="Bonus" dataDxfId="198"/>
    <tableColumn id="8" name="Actions de performance" dataDxfId="197"/>
    <tableColumn id="9" name="Nature + Autres" dataDxfId="196"/>
    <tableColumn id="10" name="Retraite " dataDxfId="195"/>
    <tableColumn id="21" name="Part court-terme/financier" dataDxfId="194">
      <calculatedColumnFormula>((J11*J7)*F2+(J24*J20)*G2+(J33*J29)*H2)/((J7*F2)+(J20*G2)+(J29*H2))</calculatedColumnFormula>
    </tableColumn>
    <tableColumn id="22" name="Part long-terme/financier" dataDxfId="193">
      <calculatedColumnFormula>1-K2</calculatedColumnFormula>
    </tableColumn>
    <tableColumn id="15" name="Poids financier dans la rémunération variable" dataDxfId="192" dataCellStyle="Pourcentage">
      <calculatedColumnFormula>(J7*F2+J20*G2+J29*H2)
/(F2+G2+H2)</calculatedColumnFormula>
    </tableColumn>
    <tableColumn id="11" name="Poids financier dans la rémunération totale" dataDxfId="191">
      <calculatedColumnFormula>(J7*F2+J20*G2+J29*H2)/D2</calculatedColumnFormula>
    </tableColumn>
    <tableColumn id="12" name="Poids valeur actionnariale dans la rémunération totale" dataDxfId="190">
      <calculatedColumnFormula>(F2*J10+G2*J23+H2*J32)/D2</calculatedColumnFormula>
    </tableColumn>
    <tableColumn id="13" name="Poids non financier dans la rémunération totale" dataDxfId="189">
      <calculatedColumnFormula>(J8*F2+J21*G2+J30*H2)/D2</calculatedColumnFormula>
    </tableColumn>
    <tableColumn id="14" name="Poids non financier mesurable dans la rémunération totale" dataDxfId="188">
      <calculatedColumnFormula>(J9*F2+J22*G2+J31*H2)/D2</calculatedColumnFormula>
    </tableColumn>
    <tableColumn id="16" name="Poids climatique dans la rémunération variable " dataDxfId="187">
      <calculatedColumnFormula>(J13*F2+J26*G2+J35*H2)/(F2+G2+H2)</calculatedColumnFormula>
    </tableColumn>
    <tableColumn id="17" name="Poids climatique dans rémunération totale" dataDxfId="186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3.xml><?xml version="1.0" encoding="utf-8"?>
<table xmlns="http://schemas.openxmlformats.org/spreadsheetml/2006/main" id="28" name="Table_35456781029" displayName="Table_35456781029" ref="A1:S2">
  <tableColumns count="19">
    <tableColumn id="1" name="Nom"/>
    <tableColumn id="2" name="Entreprise"/>
    <tableColumn id="3" name="Poste"/>
    <tableColumn id="4" name="Rémunération _x000a_totale" dataDxfId="185">
      <calculatedColumnFormula>SUM(Table_35456781029[[#This Row],[Fixe]:[Retraite ]])</calculatedColumnFormula>
    </tableColumn>
    <tableColumn id="5" name="Fixe"/>
    <tableColumn id="6" name="Variable"/>
    <tableColumn id="7" name="Bonus"/>
    <tableColumn id="8" name="Actions de performance" dataDxfId="184"/>
    <tableColumn id="9" name="Nature + Autres"/>
    <tableColumn id="10" name="Retraite "/>
    <tableColumn id="21" name="Part court-terme/financier" dataDxfId="183">
      <calculatedColumnFormula>((J11*J7)*F2+(J24*J20)*G2+(J33*J29)*H2)/((J7*F2)+(J20*G2)+(J29*H2))</calculatedColumnFormula>
    </tableColumn>
    <tableColumn id="22" name="Part long-terme/financier" dataDxfId="182">
      <calculatedColumnFormula>1-K2</calculatedColumnFormula>
    </tableColumn>
    <tableColumn id="15" name="Poids financier dans la rémunération variable" dataDxfId="181" dataCellStyle="Pourcentage">
      <calculatedColumnFormula>(J7*F2+J20*G2+J29*H2)
/(F2+G2+H2)</calculatedColumnFormula>
    </tableColumn>
    <tableColumn id="11" name="Poids financier dans la rémunération totale" dataDxfId="180">
      <calculatedColumnFormula>(J7*F2+J20*G2+J29*H2)/D2</calculatedColumnFormula>
    </tableColumn>
    <tableColumn id="12" name="Poids valeur actionnariale dans la rémunération totale" dataDxfId="179">
      <calculatedColumnFormula>(F2*J10+G2*J23+H2*J32)/D2</calculatedColumnFormula>
    </tableColumn>
    <tableColumn id="13" name="Poids non financier dans la rémunération totale" dataDxfId="178">
      <calculatedColumnFormula>(J8*F2+J21*G2+J30*H2)/D2</calculatedColumnFormula>
    </tableColumn>
    <tableColumn id="14" name="Poids non financier mesurable dans la rémunération totale" dataDxfId="177">
      <calculatedColumnFormula>(J9*F2+J22*G2+J31*H2)/D2</calculatedColumnFormula>
    </tableColumn>
    <tableColumn id="16" name="Poids climatique dans la rémunération variable " dataDxfId="176">
      <calculatedColumnFormula>(J13*F2+J26*G2+J35*H2)/(F2+G2+H2)</calculatedColumnFormula>
    </tableColumn>
    <tableColumn id="17" name="Poids climatique dans rémunération totale" dataDxfId="175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4.xml><?xml version="1.0" encoding="utf-8"?>
<table xmlns="http://schemas.openxmlformats.org/spreadsheetml/2006/main" id="36" name="Table_354567810111415161737" displayName="Table_354567810111415161737" ref="A1:S2">
  <tableColumns count="19">
    <tableColumn id="1" name="Nom"/>
    <tableColumn id="2" name="Entreprise"/>
    <tableColumn id="3" name="Poste"/>
    <tableColumn id="4" name="Rémunération _x000a_totale" dataDxfId="174">
      <calculatedColumnFormula>SUM(Table_354567810111415161737[[#This Row],[Fixe]:[Retraite ]])</calculatedColumnFormula>
    </tableColumn>
    <tableColumn id="5" name="Fixe"/>
    <tableColumn id="6" name="Variable"/>
    <tableColumn id="7" name="Bonus"/>
    <tableColumn id="8" name="Actions de performance" dataDxfId="173"/>
    <tableColumn id="9" name="Nature + Autres"/>
    <tableColumn id="10" name="Retraite " dataDxfId="172">
      <calculatedColumnFormula>191600+286193</calculatedColumnFormula>
    </tableColumn>
    <tableColumn id="21" name="Part court-terme/financier" dataDxfId="171">
      <calculatedColumnFormula>((J11*J7)*F2+(J24*J20)*G2+(J33*J29)*H2)/((J7*F2)+(J20*G2)+(J29*H2))</calculatedColumnFormula>
    </tableColumn>
    <tableColumn id="22" name="Part long-terme/financier" dataDxfId="170">
      <calculatedColumnFormula>1-K2</calculatedColumnFormula>
    </tableColumn>
    <tableColumn id="15" name="Poids financier dans la rémunération variable" dataDxfId="169">
      <calculatedColumnFormula>(J7*F2+J20*G2+J29*H2)
/(F2+G2+H2)</calculatedColumnFormula>
    </tableColumn>
    <tableColumn id="11" name="Poids financier dans la rémunération totale" dataDxfId="168">
      <calculatedColumnFormula>(J7*F2+J20*G2+J29*H2)/D2</calculatedColumnFormula>
    </tableColumn>
    <tableColumn id="12" name="Poids valeur actionnariale dans la rémunération totale" dataDxfId="167">
      <calculatedColumnFormula>(F2*J10+G2*J23+H2*J32)/D2</calculatedColumnFormula>
    </tableColumn>
    <tableColumn id="13" name="Poids non financier dans la rémunération totale" dataDxfId="166">
      <calculatedColumnFormula>(J8*F2+J21*G2+J30*H2)/D2</calculatedColumnFormula>
    </tableColumn>
    <tableColumn id="14" name="Poids non financier mesurable dans la rémunération totale" dataDxfId="165">
      <calculatedColumnFormula>(J9*F2+J22*G2+J31*H2)/D2</calculatedColumnFormula>
    </tableColumn>
    <tableColumn id="16" name="Poids climatique dans la rémunération variable " dataDxfId="164">
      <calculatedColumnFormula>(J13*F2+J26*G2+J35*H2)/(F2+G2+H2)</calculatedColumnFormula>
    </tableColumn>
    <tableColumn id="17" name="Poids climatique dans rémunération totale" dataDxfId="163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5.xml><?xml version="1.0" encoding="utf-8"?>
<table xmlns="http://schemas.openxmlformats.org/spreadsheetml/2006/main" id="38" name="Table_35456781011141516171819202122232427282930313233343536373839" displayName="Table_35456781011141516171819202122232427282930313233343536373839" ref="A1:S2">
  <tableColumns count="19">
    <tableColumn id="1" name="Nom"/>
    <tableColumn id="2" name="Entreprise"/>
    <tableColumn id="3" name="Poste" dataDxfId="162"/>
    <tableColumn id="4" name="Rémunération _x000a_totale" dataDxfId="161">
      <calculatedColumnFormula>SUM(Table_35456781011141516171819202122232427282930313233343536373839[[#This Row],[Fixe]:[Retraite ]])</calculatedColumnFormula>
    </tableColumn>
    <tableColumn id="5" name="Fixe" dataDxfId="160"/>
    <tableColumn id="6" name="Variable" dataDxfId="159"/>
    <tableColumn id="7" name="Bonus" dataDxfId="158"/>
    <tableColumn id="8" name="Actions de performance" dataDxfId="157"/>
    <tableColumn id="9" name="Nature + Autres" dataDxfId="156"/>
    <tableColumn id="10" name="Retraite " dataDxfId="155"/>
    <tableColumn id="21" name="Part court-terme/financier" dataDxfId="154">
      <calculatedColumnFormula>((J11*J7)*F2+(J24*J20)*G2+(J33*J29)*H2)/((J7*F2)+(J20*G2)+(J29*H2))</calculatedColumnFormula>
    </tableColumn>
    <tableColumn id="22" name="Part long-terme/financier" dataDxfId="153">
      <calculatedColumnFormula>1-K2</calculatedColumnFormula>
    </tableColumn>
    <tableColumn id="15" name="Poids financier dans la rémunération variable" dataDxfId="152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151">
      <calculatedColumnFormula>(F2*J10+G2*J23+H2*J32)/D2</calculatedColumnFormula>
    </tableColumn>
    <tableColumn id="13" name="Poids non financier dans la rémunération totale" dataDxfId="150">
      <calculatedColumnFormula>(J8*F2+J21*G2+J30*H2)/D2</calculatedColumnFormula>
    </tableColumn>
    <tableColumn id="14" name="Poids non financier mesurable dans la rémunération totale" dataDxfId="149">
      <calculatedColumnFormula>(J9*F2+J22*G2+J31*H2)/D2</calculatedColumnFormula>
    </tableColumn>
    <tableColumn id="16" name="Poids climatique dans la rémunération variable " dataDxfId="148">
      <calculatedColumnFormula>(J13*F2+J26*G2+J35*H2)/(F2+G2+H2)</calculatedColumnFormula>
    </tableColumn>
    <tableColumn id="17" name="Poids climatique dans rémunération totale" dataDxfId="147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6.xml><?xml version="1.0" encoding="utf-8"?>
<table xmlns="http://schemas.openxmlformats.org/spreadsheetml/2006/main" id="44" name="Table_35445" displayName="Table_35445" ref="A1:S2">
  <tableColumns count="19">
    <tableColumn id="1" name="Nom"/>
    <tableColumn id="2" name="Entreprise"/>
    <tableColumn id="3" name="Poste"/>
    <tableColumn id="4" name="Rémunération _x000a_totale" dataDxfId="146">
      <calculatedColumnFormula>SUM(Table_35445[[#This Row],[Fixe]:[Retraite ]])</calculatedColumnFormula>
    </tableColumn>
    <tableColumn id="5" name="Fixe"/>
    <tableColumn id="6" name="Variable"/>
    <tableColumn id="7" name="Variable Long Terme"/>
    <tableColumn id="8" name="Actions de performance" dataDxfId="145">
      <calculatedColumnFormula>7502483+ 2584366</calculatedColumnFormula>
    </tableColumn>
    <tableColumn id="9" name="Nature + Autres"/>
    <tableColumn id="10" name="Retraite "/>
    <tableColumn id="21" name="Part court-terme/financier" dataDxfId="144">
      <calculatedColumnFormula>((J11*J7)*F2+(J24*J20)*G2+(J33*J29)*H2)/((J7*F2)+(J20*G2)+(J29*H2))</calculatedColumnFormula>
    </tableColumn>
    <tableColumn id="22" name="Part long-terme/financier" dataDxfId="143">
      <calculatedColumnFormula>1-K2</calculatedColumnFormula>
    </tableColumn>
    <tableColumn id="17" name="Poids financier dans la rémunération variable" dataDxfId="142" dataCellStyle="Pourcentage">
      <calculatedColumnFormula>(J7*F2+J20*G2+J29*H2)
/(F2+G2+H2)</calculatedColumnFormula>
    </tableColumn>
    <tableColumn id="11" name="Poids financier dans la rémunération totale" dataDxfId="141">
      <calculatedColumnFormula>(J7*F2+J20*G2+J29*H2)/D2</calculatedColumnFormula>
    </tableColumn>
    <tableColumn id="12" name="Poids valeur actionnariale dans la rémunération totale" dataDxfId="140">
      <calculatedColumnFormula>(F2*J10+G2*J23+H2*J32)/D2</calculatedColumnFormula>
    </tableColumn>
    <tableColumn id="13" name="Poids non financier dans la rémunération totale" dataDxfId="139">
      <calculatedColumnFormula>(J8*F2+J21*G2+J30*H2)/D2</calculatedColumnFormula>
    </tableColumn>
    <tableColumn id="14" name="Poids non financier mesurable dans la rémunération totale" dataDxfId="138">
      <calculatedColumnFormula>(J9*F2+J22*G2+J31*H2)/D2</calculatedColumnFormula>
    </tableColumn>
    <tableColumn id="15" name="Poids climatique dans la rémunération variable " dataDxfId="137">
      <calculatedColumnFormula>(J13*F2+J26*G2+J35*H2)/(F2+G2+H2)</calculatedColumnFormula>
    </tableColumn>
    <tableColumn id="16" name="Poids climatique dans rémunération totale" dataDxfId="136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37.xml><?xml version="1.0" encoding="utf-8"?>
<table xmlns="http://schemas.openxmlformats.org/spreadsheetml/2006/main" id="53" name="Table_354567810111415161718192054" displayName="Table_354567810111415161718192054" ref="A1:S3">
  <tableColumns count="19">
    <tableColumn id="1" name="Nom"/>
    <tableColumn id="2" name="Entreprise"/>
    <tableColumn id="3" name="Poste"/>
    <tableColumn id="4" name="Rémunération _x000a_totale" dataDxfId="135">
      <calculatedColumnFormula>SUM(Table_354567810111415161718192054[[#This Row],[Fixe]:[Retraite ]])</calculatedColumnFormula>
    </tableColumn>
    <tableColumn id="5" name="Fixe"/>
    <tableColumn id="6" name="Variable"/>
    <tableColumn id="7" name="Bonus"/>
    <tableColumn id="8" name="Actions de performance" dataDxfId="134"/>
    <tableColumn id="9" name="Nature + Autres">
      <calculatedColumnFormula>108023+857448</calculatedColumnFormula>
    </tableColumn>
    <tableColumn id="10" name="Retraite " dataDxfId="133"/>
    <tableColumn id="21" name="Part court-terme/financier" dataDxfId="132">
      <calculatedColumnFormula>AVERAGE(J11,J24,J33)</calculatedColumnFormula>
    </tableColumn>
    <tableColumn id="22" name="Part long-terme/financier" dataDxfId="131">
      <calculatedColumnFormula>1-K2</calculatedColumnFormula>
    </tableColumn>
    <tableColumn id="15" name="Poids financier dans la rémunération variable" dataDxfId="130" dataCellStyle="Pourcentage">
      <calculatedColumnFormula>(J7*F2+J20*G2+J29*H2)
/(F2+G2+H2)</calculatedColumnFormula>
    </tableColumn>
    <tableColumn id="11" name="Poids financier dans la rémunération totale" dataDxfId="129">
      <calculatedColumnFormula>(J7*F2+J20*G2+J29*H2)/D2</calculatedColumnFormula>
    </tableColumn>
    <tableColumn id="12" name="Poids valeur actionnariale dans la rémunération totale" dataDxfId="128">
      <calculatedColumnFormula>(F2*J10+G2*J23+H2*J32)/D2</calculatedColumnFormula>
    </tableColumn>
    <tableColumn id="13" name="Poids non financier dans la rémunération totale" dataDxfId="127">
      <calculatedColumnFormula>(J8*F2+J21*G2+J30*H2)/D2</calculatedColumnFormula>
    </tableColumn>
    <tableColumn id="14" name="Poids non financier mesurable dans la rémunération totale" dataDxfId="126">
      <calculatedColumnFormula>(J9*F2+J22*G2+J31*H2)/D2</calculatedColumnFormula>
    </tableColumn>
    <tableColumn id="16" name="Poids climatique dans la rémunération variable " dataDxfId="125">
      <calculatedColumnFormula>('[2]Analyse rémunération PDG 2022'!J13*F2+J26*G2+J35*H2)/(F2+G2+H2)</calculatedColumnFormula>
    </tableColumn>
    <tableColumn id="17" name="Poids climatique dans rémunération totale" dataDxfId="124">
      <calculatedColumnFormula>('[2]Analyse rémunération PDG 2022'!J13*F2+J26*G2+J35*H2)/D2</calculatedColumnFormula>
    </tableColumn>
  </tableColumns>
  <tableStyleInfo name="AIRLIQUIDE-style" showFirstColumn="1" showLastColumn="1" showRowStripes="1" showColumnStripes="0"/>
</table>
</file>

<file path=xl/tables/table38.xml><?xml version="1.0" encoding="utf-8"?>
<table xmlns="http://schemas.openxmlformats.org/spreadsheetml/2006/main" id="55" name="Table_3556" displayName="Table_3556" ref="A1:S3">
  <tableColumns count="19">
    <tableColumn id="1" name="Nom"/>
    <tableColumn id="2" name="Entreprise"/>
    <tableColumn id="3" name="Poste"/>
    <tableColumn id="4" name="Rémunération _x000a_totale" dataDxfId="123">
      <calculatedColumnFormula>SUM(Table_3556[[#This Row],[Fixe]:[Retraite ]])</calculatedColumnFormula>
    </tableColumn>
    <tableColumn id="5" name="Fixe"/>
    <tableColumn id="6" name="Variable"/>
    <tableColumn id="7" name="Bonus"/>
    <tableColumn id="8" name="Actions de performance"/>
    <tableColumn id="9" name="Nature + Autres"/>
    <tableColumn id="10" name="Retraite "/>
    <tableColumn id="21" name="Part court-terme/financier" dataDxfId="122">
      <calculatedColumnFormula>AVERAGE(J13,J24,J33)</calculatedColumnFormula>
    </tableColumn>
    <tableColumn id="22" name="Part long-terme/financier" dataDxfId="121">
      <calculatedColumnFormula>1-K2</calculatedColumnFormula>
    </tableColumn>
    <tableColumn id="15" name="Poids financier dans la rémunération variable" dataDxfId="120">
      <calculatedColumnFormula>(J7*F2+J20*G2+J29*H2)
/(F2+G2+H2)</calculatedColumnFormula>
    </tableColumn>
    <tableColumn id="11" name="Poids financier dans la rémunération totale" dataDxfId="119">
      <calculatedColumnFormula>(J7*F2+J20*G2+J29*H2)/D2</calculatedColumnFormula>
    </tableColumn>
    <tableColumn id="12" name="Poids valeur actionnariale dans la rémunération totale" dataDxfId="118">
      <calculatedColumnFormula>(F2*J10+G2*J23+H2*J32)/D2</calculatedColumnFormula>
    </tableColumn>
    <tableColumn id="13" name="Poids non financier dans la rémunération totale" dataDxfId="117">
      <calculatedColumnFormula>(J8*F2+J21*G2+J30*H2)/D2</calculatedColumnFormula>
    </tableColumn>
    <tableColumn id="14" name="Poids non financier mesurable dans la rémunération totale" dataDxfId="116">
      <calculatedColumnFormula>(J9*F2+J22*G2+J31*H2)/D2</calculatedColumnFormula>
    </tableColumn>
    <tableColumn id="16" name="Poids climatique dans la rémunération variable " dataDxfId="115"/>
    <tableColumn id="17" name="Poids climatique dans rémunération totale" dataDxfId="114"/>
  </tableColumns>
  <tableStyleInfo name="AIRLIQUIDE-style" showFirstColumn="1" showLastColumn="1" showRowStripes="1" showColumnStripes="0"/>
</table>
</file>

<file path=xl/tables/table39.xml><?xml version="1.0" encoding="utf-8"?>
<table xmlns="http://schemas.openxmlformats.org/spreadsheetml/2006/main" id="57" name="Table_3545678101114151617181920212223242728293031323334353637383940" displayName="Table_3545678101114151617181920212223242728293031323334353637383940" ref="A1:S2">
  <tableColumns count="19">
    <tableColumn id="1" name="Nom"/>
    <tableColumn id="2" name="Entreprise"/>
    <tableColumn id="3" name="Poste"/>
    <tableColumn id="4" name="Rémunération _x000a_totale" dataDxfId="113">
      <calculatedColumnFormula>SUM(Table_3545678101114151617181920212223242728293031323334353637383940[[#This Row],[Fixe]:[Retraite ]])</calculatedColumnFormula>
    </tableColumn>
    <tableColumn id="5" name="Fixe" dataDxfId="112"/>
    <tableColumn id="6" name="Variable" dataDxfId="111"/>
    <tableColumn id="7" name="Bonus"/>
    <tableColumn id="8" name="Actions de performance" dataDxfId="110"/>
    <tableColumn id="9" name="Nature + Autres" dataDxfId="109"/>
    <tableColumn id="10" name="Retraite " dataDxfId="108"/>
    <tableColumn id="21" name="Part court-terme/financier" dataDxfId="107">
      <calculatedColumnFormula>((J11*J7)*F2+(J24*J20)*G2+(J33*J29)*H2)/((J7*F2)+(J20*G2)+(J29*H2))</calculatedColumnFormula>
    </tableColumn>
    <tableColumn id="22" name="Part long-terme/financier" dataDxfId="106">
      <calculatedColumnFormula>1-K2</calculatedColumnFormula>
    </tableColumn>
    <tableColumn id="15" name="Poids financier dans la rémunération variable" dataDxfId="105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104">
      <calculatedColumnFormula>(F2*J10+G2*J23+H2*J32)/D2</calculatedColumnFormula>
    </tableColumn>
    <tableColumn id="13" name="Poids non financier dans la rémunération totale" dataDxfId="103">
      <calculatedColumnFormula>(J8*F2+J21*G2+J30*H2)/D2</calculatedColumnFormula>
    </tableColumn>
    <tableColumn id="14" name="Poids non financier mesurable dans la rémunération totale" dataDxfId="102">
      <calculatedColumnFormula>(J9*F2+J22*G2+J31*H2)/D2</calculatedColumnFormula>
    </tableColumn>
    <tableColumn id="16" name="Poids climatique dans la rémunération variable " dataDxfId="101">
      <calculatedColumnFormula>(J13*F2+J26*G2+J35*H2)/(F2+G2+H2)</calculatedColumnFormula>
    </tableColumn>
    <tableColumn id="17" name="Poids climatique dans rémunération totale" dataDxfId="100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4.xml><?xml version="1.0" encoding="utf-8"?>
<table xmlns="http://schemas.openxmlformats.org/spreadsheetml/2006/main" id="30" name="Table_3545678101114151617181920212223242728293031" displayName="Table_3545678101114151617181920212223242728293031" ref="A1:S2" headerRowDxfId="575" tableBorderDxfId="574">
  <tableColumns count="19">
    <tableColumn id="1" name="Nom" dataDxfId="573"/>
    <tableColumn id="2" name="Entreprise" dataDxfId="572"/>
    <tableColumn id="3" name="Poste" dataDxfId="571"/>
    <tableColumn id="4" name="Rémunération _x000a_totale" dataDxfId="570">
      <calculatedColumnFormula>SUM('[1]Analyse Rémunération PDG 2022'!$E2:$J2)</calculatedColumnFormula>
    </tableColumn>
    <tableColumn id="5" name="Fixe" dataDxfId="569">
      <calculatedColumnFormula>552083+641667</calculatedColumnFormula>
    </tableColumn>
    <tableColumn id="6" name="Variable" dataDxfId="568">
      <calculatedColumnFormula>921979+912450</calculatedColumnFormula>
    </tableColumn>
    <tableColumn id="7" name="Bonus" dataDxfId="567"/>
    <tableColumn id="8" name="Actions de performance" dataDxfId="566"/>
    <tableColumn id="9" name="Nature + Autres" dataDxfId="565">
      <calculatedColumnFormula>4494+7956</calculatedColumnFormula>
    </tableColumn>
    <tableColumn id="10" name="Retraite " dataDxfId="564"/>
    <tableColumn id="21" name="Part court-terme/financier" dataDxfId="563" dataCellStyle="Pourcentage">
      <calculatedColumnFormula>((J11*J7)*F2+(J24*J20)*G2+(J33*J29)*H2)/((J7*F2)+(J20*G2)+(J29*H2))</calculatedColumnFormula>
    </tableColumn>
    <tableColumn id="22" name="Part long-terme/financier" dataDxfId="562" dataCellStyle="Pourcentage">
      <calculatedColumnFormula>1-K2</calculatedColumnFormula>
    </tableColumn>
    <tableColumn id="15" name="Poids financier dans la rémunération variable" dataDxfId="561" dataCellStyle="Pourcentage">
      <calculatedColumnFormula>(J7*F2+J20*G2+J29*H2)
/(F2+G2+H2)</calculatedColumnFormula>
    </tableColumn>
    <tableColumn id="11" name="Poids financier dans la rémunération totale" dataDxfId="560">
      <calculatedColumnFormula>(J7*F2+J20*G2+J29*H2)/D2</calculatedColumnFormula>
    </tableColumn>
    <tableColumn id="12" name="Poids valeur actionnariale dans la rémunération totale" dataDxfId="559" dataCellStyle="Pourcentage">
      <calculatedColumnFormula>(F2*J10+G2*J23+H2*J32)/D2</calculatedColumnFormula>
    </tableColumn>
    <tableColumn id="13" name="Poids non financier dans la rémunération totale" dataDxfId="558">
      <calculatedColumnFormula>(J8*F2+J30*H2)/D2</calculatedColumnFormula>
    </tableColumn>
    <tableColumn id="14" name="Poids non financier mesurable dans la rémunération totale" dataDxfId="557">
      <calculatedColumnFormula>(J9*F2+J22*G2+J31*H2)/D2</calculatedColumnFormula>
    </tableColumn>
    <tableColumn id="16" name="Poids climatique dans la rémunération variable " dataDxfId="556">
      <calculatedColumnFormula>(J13*F2+J25*G2+J35*H2)/(F2+G2+H2)</calculatedColumnFormula>
    </tableColumn>
    <tableColumn id="17" name="Poids climatique dans rémunération totale" dataDxfId="555">
      <calculatedColumnFormula>(J13*F2+J25*G2+J35*H2)/D2</calculatedColumnFormula>
    </tableColumn>
  </tableColumns>
  <tableStyleInfo name="AIRLIQUIDE-style" showFirstColumn="1" showLastColumn="1" showRowStripes="1" showColumnStripes="0"/>
</table>
</file>

<file path=xl/tables/table40.xml><?xml version="1.0" encoding="utf-8"?>
<table xmlns="http://schemas.openxmlformats.org/spreadsheetml/2006/main" id="58" name="Table_3545678101114151617181920212223242759" displayName="Table_3545678101114151617181920212223242759" ref="A1:S2">
  <tableColumns count="19">
    <tableColumn id="1" name="Nom"/>
    <tableColumn id="2" name="Entreprise"/>
    <tableColumn id="3" name="Poste"/>
    <tableColumn id="4" name="Rémunération _x000a_totale" dataDxfId="99">
      <calculatedColumnFormula>SUM(Table_3545678101114151617181920212223242759[[#This Row],[Fixe]:[Retraite ]])</calculatedColumnFormula>
    </tableColumn>
    <tableColumn id="5" name="Fixe"/>
    <tableColumn id="6" name="Variable"/>
    <tableColumn id="7" name="Bonus"/>
    <tableColumn id="8" name="Actions de performance" dataDxfId="98"/>
    <tableColumn id="9" name="Nature + Autres"/>
    <tableColumn id="10" name="Retraite " dataDxfId="97"/>
    <tableColumn id="21" name="Part court-terme/financier" dataDxfId="96">
      <calculatedColumnFormula>((J11*J7)*F2+(J24*J20)*G2+(J33*J29)*H2)/((J7*F2)+(J20*G2)+(J29*H2))</calculatedColumnFormula>
    </tableColumn>
    <tableColumn id="22" name="Part long-terme/financier" dataDxfId="95">
      <calculatedColumnFormula>1-K2</calculatedColumnFormula>
    </tableColumn>
    <tableColumn id="15" name="Poids financier dans la rémunération variable" dataDxfId="94" dataCellStyle="Pourcentage">
      <calculatedColumnFormula>(J7*F2+J20*G2+J29*H2)
/(F2+G2+H2)</calculatedColumnFormula>
    </tableColumn>
    <tableColumn id="11" name="Poids financier dans la rémunération totale" dataDxfId="93">
      <calculatedColumnFormula>(J7*F2+J20*G2+J29*H2)/D2</calculatedColumnFormula>
    </tableColumn>
    <tableColumn id="12" name="Poids valeur actionnariale dans la rémunération totale" dataDxfId="92">
      <calculatedColumnFormula>(F2*J10+G2*J23+H2*J32)/D2</calculatedColumnFormula>
    </tableColumn>
    <tableColumn id="13" name="Poids non financier dans la rémunération totale" dataDxfId="91">
      <calculatedColumnFormula>(J8*F2+J21*G2+J30*H2)/D2</calculatedColumnFormula>
    </tableColumn>
    <tableColumn id="14" name="Poids non financier mesurable dans la rémunération totale" dataDxfId="90">
      <calculatedColumnFormula>(J9*F2+J22*G2+J31*H2)/D2</calculatedColumnFormula>
    </tableColumn>
    <tableColumn id="16" name="Poids climatique dans la rémunération variable " dataDxfId="89">
      <calculatedColumnFormula>(J13*F2+J26*G2+J35*H2)/(F2+G2+H2)</calculatedColumnFormula>
    </tableColumn>
    <tableColumn id="17" name="Poids climatique dans rémunération totale" dataDxfId="88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41.xml><?xml version="1.0" encoding="utf-8"?>
<table xmlns="http://schemas.openxmlformats.org/spreadsheetml/2006/main" id="59" name="Table_35456781011141516171819202122232427282930313233343536373839404160" displayName="Table_35456781011141516171819202122232427282930313233343536373839404160" ref="A1:S2">
  <tableColumns count="19">
    <tableColumn id="1" name="Nom"/>
    <tableColumn id="2" name="Entreprise"/>
    <tableColumn id="3" name="Poste"/>
    <tableColumn id="4" name="Rémunération _x000a_totale" dataDxfId="87">
      <calculatedColumnFormula>SUM(Table_35456781011141516171819202122232427282930313233343536373839404160[[#This Row],[Fixe]:[Retraite ]])</calculatedColumnFormula>
    </tableColumn>
    <tableColumn id="5" name="Fixe" dataDxfId="86"/>
    <tableColumn id="6" name="Variable" dataDxfId="85"/>
    <tableColumn id="7" name="Stock Options"/>
    <tableColumn id="8" name="Actions de performance" dataDxfId="84"/>
    <tableColumn id="9" name="Nature + Autres" dataDxfId="83"/>
    <tableColumn id="10" name="Retraite " dataDxfId="82"/>
    <tableColumn id="21" name="Part court-terme/financier" dataDxfId="81">
      <calculatedColumnFormula>((J11*J7)*F2+(J24*J20)*G2+(J33*J29)*H2)/((J7*F2)+(J20*G2)+(J29*H2))</calculatedColumnFormula>
    </tableColumn>
    <tableColumn id="22" name="Part long-terme/financier" dataDxfId="80">
      <calculatedColumnFormula>1-K2</calculatedColumnFormula>
    </tableColumn>
    <tableColumn id="15" name="Poids financier dans la rémunération variable" dataDxfId="79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78">
      <calculatedColumnFormula>(F2*J10+G2*J23+H2*J32)/D2</calculatedColumnFormula>
    </tableColumn>
    <tableColumn id="13" name="Poids non financier dans la rémunération totale" dataDxfId="77">
      <calculatedColumnFormula>(J8*F2+J21*G2+J30*H2)/D2</calculatedColumnFormula>
    </tableColumn>
    <tableColumn id="14" name="Poids non financier mesurable dans la rémunération totale" dataDxfId="76">
      <calculatedColumnFormula>(J9*F2+J22*G2+J31*H2)/D2</calculatedColumnFormula>
    </tableColumn>
    <tableColumn id="16" name="Poids climatique dans la rémunération variable " dataDxfId="75">
      <calculatedColumnFormula>(J13*F2+J26*G2+J35*H2)/(F2+G2+H2)</calculatedColumnFormula>
    </tableColumn>
    <tableColumn id="17" name="Poids climatique dans rémunération totale" dataDxfId="74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42.xml><?xml version="1.0" encoding="utf-8"?>
<table xmlns="http://schemas.openxmlformats.org/spreadsheetml/2006/main" id="60" name="Table_3545678101114151617181920212223242728293061" displayName="Table_3545678101114151617181920212223242728293061" ref="A1:S3">
  <tableColumns count="19">
    <tableColumn id="1" name="Nom"/>
    <tableColumn id="2" name="Entreprise"/>
    <tableColumn id="3" name="Poste"/>
    <tableColumn id="4" name="Rémunération _x000a_totale" dataDxfId="73">
      <calculatedColumnFormula>SUM(Table_3545678101114151617181920212223242728293061[[#This Row],[Fixe]:[Retraite ]])</calculatedColumnFormula>
    </tableColumn>
    <tableColumn id="5" name="Fixe">
      <calculatedColumnFormula>515000+515000</calculatedColumnFormula>
    </tableColumn>
    <tableColumn id="6" name="Variable">
      <calculatedColumnFormula>764288+764288</calculatedColumnFormula>
    </tableColumn>
    <tableColumn id="7" name="Bonus"/>
    <tableColumn id="8" name="Actions de performance" dataDxfId="72"/>
    <tableColumn id="9" name="Nature + Autres"/>
    <tableColumn id="10" name="Retraite " dataDxfId="71"/>
    <tableColumn id="21" name="Part court-terme/financier" dataDxfId="70">
      <calculatedColumnFormula>((J11*J7)*F2+(J24*J20)*G2+(J33*J29)*H2)/((J7*F2)+(J20*G2)+(J29*H2))</calculatedColumnFormula>
    </tableColumn>
    <tableColumn id="22" name="Part long-terme/financier" dataDxfId="69">
      <calculatedColumnFormula>1-K2</calculatedColumnFormula>
    </tableColumn>
    <tableColumn id="15" name="Poids financier dans la rémunération variable" dataDxfId="68">
      <calculatedColumnFormula>(J7*F2+J20*G2+J29*H2)
/(F2+G2+H2)</calculatedColumnFormula>
    </tableColumn>
    <tableColumn id="11" name="Poids financier dans la rémunération totale" dataDxfId="67">
      <calculatedColumnFormula>(J7*F2+J20*G2+J29*H2)/D2</calculatedColumnFormula>
    </tableColumn>
    <tableColumn id="12" name="Poids valeur actionnariale dans la rémunération totale" dataDxfId="66">
      <calculatedColumnFormula>(F2*J10+G2*J23+H2*J32)/D2</calculatedColumnFormula>
    </tableColumn>
    <tableColumn id="13" name="Poids non financier dans la rémunération totale" dataDxfId="65">
      <calculatedColumnFormula>(J8*F2+J21*G2+J30*H2)/D2</calculatedColumnFormula>
    </tableColumn>
    <tableColumn id="14" name="Poids non financier mesurable dans la rémunération totale" dataDxfId="64">
      <calculatedColumnFormula>(J9*F2+J22*G2+J31*H2)/D2</calculatedColumnFormula>
    </tableColumn>
    <tableColumn id="16" name="Poids climatique dans la rémunération variable " dataDxfId="63"/>
    <tableColumn id="17" name="Poids climatique dans rémunération totale" dataDxfId="62"/>
  </tableColumns>
  <tableStyleInfo name="AIRLIQUIDE-style" showFirstColumn="1" showLastColumn="1" showRowStripes="1" showColumnStripes="0"/>
</table>
</file>

<file path=xl/tables/table43.xml><?xml version="1.0" encoding="utf-8"?>
<table xmlns="http://schemas.openxmlformats.org/spreadsheetml/2006/main" id="61" name="Table_3545678101114151617181962" displayName="Table_3545678101114151617181962" ref="A1:S2">
  <tableColumns count="19">
    <tableColumn id="1" name="Nom"/>
    <tableColumn id="2" name="Entreprise"/>
    <tableColumn id="3" name="Poste"/>
    <tableColumn id="4" name="Rémunération _x000a_totale" dataDxfId="61">
      <calculatedColumnFormula>SUM(Table_3545678101114151617181962[[#This Row],[Fixe]:[Retraite ]])</calculatedColumnFormula>
    </tableColumn>
    <tableColumn id="5" name="Fixe"/>
    <tableColumn id="6" name="Variable"/>
    <tableColumn id="7" name="Variable "/>
    <tableColumn id="8" name="Actions de performance" dataDxfId="60"/>
    <tableColumn id="9" name="Nature + Autres">
      <calculatedColumnFormula>5574</calculatedColumnFormula>
    </tableColumn>
    <tableColumn id="10" name="Retraite " dataDxfId="59"/>
    <tableColumn id="21" name="Part court-terme/financier" dataDxfId="58">
      <calculatedColumnFormula>((J11*J7)*F2+(J24*J20)*G2+(J33*J29)*H2)/((J7*F2)+(J20*G2)+(J29*H2))</calculatedColumnFormula>
    </tableColumn>
    <tableColumn id="22" name="Part long-terme/financier" dataDxfId="57">
      <calculatedColumnFormula>1-K2</calculatedColumnFormula>
    </tableColumn>
    <tableColumn id="15" name="Poids financier dans la rémunération variable" dataDxfId="56" dataCellStyle="Pourcentage">
      <calculatedColumnFormula>(J7*F2+J20*G2+J29*H2)
/(F2+G2+H2)</calculatedColumnFormula>
    </tableColumn>
    <tableColumn id="11" name="Poids financier dans la rémunération totale" dataDxfId="55">
      <calculatedColumnFormula>(J7*F2+J20*G2+J29*H2)/D2</calculatedColumnFormula>
    </tableColumn>
    <tableColumn id="12" name="Poids valeur actionnariale dans la rémunération totale" dataDxfId="54">
      <calculatedColumnFormula>(F2*J10+G2*J23+H2*J32)/D2</calculatedColumnFormula>
    </tableColumn>
    <tableColumn id="13" name="Poids non financier dans la rémunération totale" dataDxfId="53">
      <calculatedColumnFormula>(J8*F2+J21*G2+J30*H2)/D2</calculatedColumnFormula>
    </tableColumn>
    <tableColumn id="14" name="Poids non financier mesurable dans la rémunération totale" dataDxfId="52">
      <calculatedColumnFormula>(J9*F2+J22*G2+J31*H2)/D2</calculatedColumnFormula>
    </tableColumn>
    <tableColumn id="16" name="Poids climatique dans la rémunération variable " dataDxfId="51">
      <calculatedColumnFormula>(J13*F2+J26*G2+J35*H2)/(F2+G2+H2)</calculatedColumnFormula>
    </tableColumn>
    <tableColumn id="17" name="Poids climatique dans rémunération totale" dataDxfId="50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44.xml><?xml version="1.0" encoding="utf-8"?>
<table xmlns="http://schemas.openxmlformats.org/spreadsheetml/2006/main" id="62" name="Table_3545678101114151617181920212223242663" displayName="Table_3545678101114151617181920212223242663" ref="A1:S2">
  <tableColumns count="19">
    <tableColumn id="1" name="Nom"/>
    <tableColumn id="2" name="Entreprise"/>
    <tableColumn id="3" name="Poste"/>
    <tableColumn id="4" name="Rémunération _x000a_totale" dataDxfId="49">
      <calculatedColumnFormula>SUM(Table_3545678101114151617181920212223242663[[#This Row],[Fixe]:[Retraite ]])</calculatedColumnFormula>
    </tableColumn>
    <tableColumn id="5" name="Fixe"/>
    <tableColumn id="6" name="Variable"/>
    <tableColumn id="7" name="Bonus"/>
    <tableColumn id="8" name="Actions de performance" dataDxfId="48"/>
    <tableColumn id="9" name="Nature + Autres">
      <calculatedColumnFormula>13357+25346</calculatedColumnFormula>
    </tableColumn>
    <tableColumn id="10" name="Retraite " dataDxfId="47"/>
    <tableColumn id="21" name="Part court-terme/financier" dataDxfId="46">
      <calculatedColumnFormula>((J11*J7)*F2+(J24*J20)*G2+(J33*J29)*H2)/((J7*F2)+(J20*G2)+(J29*H2))</calculatedColumnFormula>
    </tableColumn>
    <tableColumn id="22" name="Part long-terme/financier" dataDxfId="45">
      <calculatedColumnFormula>1-K2</calculatedColumnFormula>
    </tableColumn>
    <tableColumn id="15" name="Poids financier dans la rémunération variable" dataDxfId="44" dataCellStyle="Pourcentage">
      <calculatedColumnFormula>(J7*F2+J20*G2+J29*H2)
/(F2+G2+H2)</calculatedColumnFormula>
    </tableColumn>
    <tableColumn id="11" name="Poids financier dans la rémunération totale" dataDxfId="43">
      <calculatedColumnFormula>(J7*F2+J20*G2+J29*H2)/D2</calculatedColumnFormula>
    </tableColumn>
    <tableColumn id="12" name="Poids valeur actionnariale dans la rémunération totale" dataDxfId="42">
      <calculatedColumnFormula>(F2*J10+G2*J23+H2*J32)/D2</calculatedColumnFormula>
    </tableColumn>
    <tableColumn id="13" name="Poids non financier dans la rémunération totale" dataDxfId="41">
      <calculatedColumnFormula>(J8*F2+J21*G2+J30*H2)/D2</calculatedColumnFormula>
    </tableColumn>
    <tableColumn id="14" name="Poids non financier mesurable dans la rémunération totale" dataDxfId="40">
      <calculatedColumnFormula>(J9*F2+J22*G2+J31*H2)/D2</calculatedColumnFormula>
    </tableColumn>
    <tableColumn id="16" name="Poids climatique dans la rémunération variable " dataDxfId="39">
      <calculatedColumnFormula>(J13*F2+J26*G2+J35*H2)/(F2+G2+H2)</calculatedColumnFormula>
    </tableColumn>
    <tableColumn id="17" name="Poids climatique dans rémunération totale" dataDxfId="38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45.xml><?xml version="1.0" encoding="utf-8"?>
<table xmlns="http://schemas.openxmlformats.org/spreadsheetml/2006/main" id="63" name="Table_35456781011141516171819202122232427282930313264" displayName="Table_35456781011141516171819202122232427282930313264" ref="A1:S2">
  <tableColumns count="19">
    <tableColumn id="1" name="Nom"/>
    <tableColumn id="2" name="Entreprise"/>
    <tableColumn id="3" name="Poste"/>
    <tableColumn id="4" name="Rémunération _x000a_totale" dataDxfId="37">
      <calculatedColumnFormula>SUM(Table_35456781011141516171819202122232427282930313264[[#This Row],[Fixe]:[Retraite ]])</calculatedColumnFormula>
    </tableColumn>
    <tableColumn id="5" name="Fixe" dataDxfId="36"/>
    <tableColumn id="6" name="Variable" dataDxfId="35"/>
    <tableColumn id="7" name="Options de souscriptions"/>
    <tableColumn id="8" name="Actions de performance" dataDxfId="34"/>
    <tableColumn id="9" name="Nature + Autres" dataDxfId="33">
      <calculatedColumnFormula>6597+4838</calculatedColumnFormula>
    </tableColumn>
    <tableColumn id="10" name="Retraite " dataDxfId="32"/>
    <tableColumn id="21" name="Part court-terme/financier" dataDxfId="31">
      <calculatedColumnFormula>((J11*J7)*F2+(J24*J20)*G2+(J33*J29)*H2)/((J7*F2)+(J20*G2)+(J29*H2))</calculatedColumnFormula>
    </tableColumn>
    <tableColumn id="22" name="Part long-terme/financier" dataDxfId="30">
      <calculatedColumnFormula>1-K2</calculatedColumnFormula>
    </tableColumn>
    <tableColumn id="15" name="Poids financier dans la rémunération variable" dataDxfId="29" dataCellStyle="Pourcentage">
      <calculatedColumnFormula>(J7*F2+J20*G2+J29*H2)
/(F2+G2+H2)</calculatedColumnFormula>
    </tableColumn>
    <tableColumn id="11" name="Poids financier dans la rémunération totale" dataDxfId="28">
      <calculatedColumnFormula>(J7*F2+J20*G2+J29*H2)/D2</calculatedColumnFormula>
    </tableColumn>
    <tableColumn id="12" name="Poids valeur actionnariale dans la rémunération totale" dataDxfId="27">
      <calculatedColumnFormula>(F2*J10+G2*J23+H2*J32)/D2</calculatedColumnFormula>
    </tableColumn>
    <tableColumn id="13" name="Poids non financier dans la rémunération totale" dataDxfId="26">
      <calculatedColumnFormula>(J8*F2+J21*G2+J30*H2)/D2</calculatedColumnFormula>
    </tableColumn>
    <tableColumn id="14" name="Poids non financier mesurable dans la rémunération totale" dataDxfId="25">
      <calculatedColumnFormula>(J9*F2+J22*G2+J31*H2)/D2</calculatedColumnFormula>
    </tableColumn>
    <tableColumn id="16" name="Poids climatique dans la rémunération variable " dataDxfId="24">
      <calculatedColumnFormula>(J13*F2+J26*G2+J35*H2)/(F2+G2+H2)</calculatedColumnFormula>
    </tableColumn>
    <tableColumn id="17" name="Poids climatique dans rémunération totale" dataDxfId="23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5.xml><?xml version="1.0" encoding="utf-8"?>
<table xmlns="http://schemas.openxmlformats.org/spreadsheetml/2006/main" id="46" name="Table_4" displayName="Table_4" ref="M11:V12" headerRowCount="0">
  <tableColumns count="10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Analyse Rémunération PDG 2022-style 3" showFirstColumn="1" showLastColumn="1" showRowStripes="1" showColumnStripes="0"/>
</table>
</file>

<file path=xl/tables/table6.xml><?xml version="1.0" encoding="utf-8"?>
<table xmlns="http://schemas.openxmlformats.org/spreadsheetml/2006/main" id="45" name="Table_3" displayName="Table_3" ref="M10:V10" headerRowCount="0">
  <tableColumns count="10">
    <tableColumn id="1" name="Column1"/>
    <tableColumn id="2" name="Column2" dataDxfId="554"/>
    <tableColumn id="3" name="Column3" dataDxfId="553"/>
    <tableColumn id="4" name="Column4">
      <calculatedColumnFormula>SUM('[1]Analyse Rémunération PDG 2022'!$E10:$J10)</calculatedColumnFormula>
    </tableColumn>
    <tableColumn id="5" name="Column5">
      <calculatedColumnFormula>552083</calculatedColumnFormula>
    </tableColumn>
    <tableColumn id="6" name="Column6">
      <calculatedColumnFormula>921979</calculatedColumnFormula>
    </tableColumn>
    <tableColumn id="7" name="Column7"/>
    <tableColumn id="8" name="Column8"/>
    <tableColumn id="9" name="Column9">
      <calculatedColumnFormula>4494</calculatedColumnFormula>
    </tableColumn>
    <tableColumn id="10" name="Column10"/>
  </tableColumns>
  <tableStyleInfo name="Analyse Rémunération PDG 2022-style 2" showFirstColumn="1" showLastColumn="1" showRowStripes="1" showColumnStripes="0"/>
</table>
</file>

<file path=xl/tables/table7.xml><?xml version="1.0" encoding="utf-8"?>
<table xmlns="http://schemas.openxmlformats.org/spreadsheetml/2006/main" id="47" name="Table_354567810111415161718192021222324272829303132333448" displayName="Table_354567810111415161718192021222324272829303132333448" ref="A1:S2" headerRowDxfId="552">
  <tableColumns count="19">
    <tableColumn id="1" name="Nom"/>
    <tableColumn id="2" name="Entreprise"/>
    <tableColumn id="3" name="Poste"/>
    <tableColumn id="4" name="Rémunération _x000a_totale" dataDxfId="551">
      <calculatedColumnFormula>SUM(Table_354567810111415161718192021222324272829303132333448[[#This Row],[Fixe]:[Retraite ]])</calculatedColumnFormula>
    </tableColumn>
    <tableColumn id="5" name="Fixe" dataDxfId="550"/>
    <tableColumn id="6" name="Variable" dataDxfId="549"/>
    <tableColumn id="7" name="Bonus"/>
    <tableColumn id="8" name="Actions de performance" dataDxfId="548"/>
    <tableColumn id="9" name="Nature + Autres" dataDxfId="547"/>
    <tableColumn id="10" name="Retraite " dataDxfId="546"/>
    <tableColumn id="21" name="Part court-terme/financier" dataDxfId="545">
      <calculatedColumnFormula>((J11*J7)*F2+(J24*J20)*G2+(J33*J29)*H2)/((J7*F2)+(J20*G2)+(J29*H2))</calculatedColumnFormula>
    </tableColumn>
    <tableColumn id="22" name="Part long-terme/financier" dataDxfId="544">
      <calculatedColumnFormula>1-K2</calculatedColumnFormula>
    </tableColumn>
    <tableColumn id="15" name="Poids financier dans la rémunération variable" dataDxfId="543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542">
      <calculatedColumnFormula>(F2*J10+G2*J23+H2*J32)/D2</calculatedColumnFormula>
    </tableColumn>
    <tableColumn id="13" name="Poids non financier dans la rémunération totale" dataDxfId="541">
      <calculatedColumnFormula>(J8*F2+J21*G2+J30*H2)/D2</calculatedColumnFormula>
    </tableColumn>
    <tableColumn id="14" name="Poids non financier mesurable dans la rémunération totale" dataDxfId="540">
      <calculatedColumnFormula>(J9*F2+J22*G2+J31*H2)/D2</calculatedColumnFormula>
    </tableColumn>
    <tableColumn id="16" name="Poids climatique dans la rémunération variable " dataDxfId="539" dataCellStyle="Pourcentage">
      <calculatedColumnFormula>(J13*F2+J26*G2+J35*H2)/(F2+G2+H2)</calculatedColumnFormula>
    </tableColumn>
    <tableColumn id="17" name="Poids climatique dans rémunération totale" dataDxfId="538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8.xml><?xml version="1.0" encoding="utf-8"?>
<table xmlns="http://schemas.openxmlformats.org/spreadsheetml/2006/main" id="49" name="Table_3545678101114151617181920212223242728293031323334353650" displayName="Table_3545678101114151617181920212223242728293031323334353650" ref="A1:S2" headerRowDxfId="537">
  <tableColumns count="19">
    <tableColumn id="1" name="Nom"/>
    <tableColumn id="2" name="Entreprise"/>
    <tableColumn id="3" name="Poste"/>
    <tableColumn id="4" name="Rémunération _x000a_totale" dataDxfId="536">
      <calculatedColumnFormula>SUM(Table_3545678101114151617181920212223242728293031323334353650[[#This Row],[Fixe]:[Retraite ]])</calculatedColumnFormula>
    </tableColumn>
    <tableColumn id="5" name="Fixe" dataDxfId="535"/>
    <tableColumn id="6" name="Variable" dataDxfId="534"/>
    <tableColumn id="7" name="Bonus"/>
    <tableColumn id="8" name="Actions de performance" dataDxfId="533"/>
    <tableColumn id="9" name="Nature + Autres" dataDxfId="532"/>
    <tableColumn id="10" name="Retraite " dataDxfId="531"/>
    <tableColumn id="21" name="Part court-terme/financier" dataDxfId="530" dataCellStyle="Pourcentage">
      <calculatedColumnFormula>((J11*J7)*F2+(J24*J20)*G2+(J33*J29)*H2)/((J7*F2)+(J20*G2)+(J29*H2))</calculatedColumnFormula>
    </tableColumn>
    <tableColumn id="22" name="Part long-terme/financier" dataDxfId="529">
      <calculatedColumnFormula>1-K2</calculatedColumnFormula>
    </tableColumn>
    <tableColumn id="15" name="Poids financier dans la rémunération variable" dataDxfId="528" dataCellStyle="Pourcentage">
      <calculatedColumnFormula>(J7*F2+J20*G2+J29*H2)
/(F2+G2+H2)</calculatedColumnFormula>
    </tableColumn>
    <tableColumn id="11" name="Poids financier dans la rémunération totale" dataCellStyle="Pourcentage">
      <calculatedColumnFormula>(J7*F2+J20*G2+J29*H2)/D2</calculatedColumnFormula>
    </tableColumn>
    <tableColumn id="12" name="Poids valeur actionnariale dans la rémunération totale" dataDxfId="527">
      <calculatedColumnFormula>(F2*J10+G2*J23+H2*J32)/D2</calculatedColumnFormula>
    </tableColumn>
    <tableColumn id="13" name="Poids non financier dans la rémunération totale" dataDxfId="526">
      <calculatedColumnFormula>(J8*F2+J21*G2+J30*H2)/D2</calculatedColumnFormula>
    </tableColumn>
    <tableColumn id="14" name="Poids non financier mesurable dans la rémunération totale" dataDxfId="525">
      <calculatedColumnFormula>(J9*F2+J22*G2+J31*H2)/D2</calculatedColumnFormula>
    </tableColumn>
    <tableColumn id="16" name="Poids climatique dans la rémunération variable " dataDxfId="524">
      <calculatedColumnFormula>(J13*F2+J26*G2+J35*H2)/(F2+G2+H2)</calculatedColumnFormula>
    </tableColumn>
    <tableColumn id="17" name="Poids climatique dans rémunération totale" dataDxfId="523">
      <calculatedColumnFormula>(J13*F2+J26*G2+J35*H2)/D2</calculatedColumnFormula>
    </tableColumn>
  </tableColumns>
  <tableStyleInfo name="AIRLIQUIDE-style" showFirstColumn="1" showLastColumn="1" showRowStripes="1" showColumnStripes="0"/>
</table>
</file>

<file path=xl/tables/table9.xml><?xml version="1.0" encoding="utf-8"?>
<table xmlns="http://schemas.openxmlformats.org/spreadsheetml/2006/main" id="50" name="Table_354567810111351" displayName="Table_354567810111351" ref="A1:S4" headerRowDxfId="522">
  <tableColumns count="19">
    <tableColumn id="1" name="Nom"/>
    <tableColumn id="2" name="Entreprise"/>
    <tableColumn id="3" name="Poste"/>
    <tableColumn id="4" name="Rémunération _x000a_totale" dataDxfId="521">
      <calculatedColumnFormula>SUM(Table_354567810111351[[#This Row],[Fixe]:[Retraite ]])</calculatedColumnFormula>
    </tableColumn>
    <tableColumn id="5" name="Fixe"/>
    <tableColumn id="6" name="Variable" dataDxfId="520"/>
    <tableColumn id="7" name="Bonus" dataDxfId="519"/>
    <tableColumn id="8" name="Actions de performance" dataDxfId="518"/>
    <tableColumn id="9" name="Nature + Autres">
      <calculatedColumnFormula>1670000</calculatedColumnFormula>
    </tableColumn>
    <tableColumn id="10" name="Retraite " dataDxfId="517"/>
    <tableColumn id="21" name="Part court-terme/financier" dataDxfId="516">
      <calculatedColumnFormula>AVERAGE(J11,J24,J33)</calculatedColumnFormula>
    </tableColumn>
    <tableColumn id="22" name="Part long-terme/financier" dataDxfId="515">
      <calculatedColumnFormula>1-K2</calculatedColumnFormula>
    </tableColumn>
    <tableColumn id="15" name="Poids financier dans la rémunération variable" dataDxfId="514">
      <calculatedColumnFormula>(J7*F2+J20*G2+J29*H2)
/(F2+G2+H2)</calculatedColumnFormula>
    </tableColumn>
    <tableColumn id="11" name="Poids financier dans la rémunération totale" dataDxfId="513">
      <calculatedColumnFormula>(J7*F3+J20*G3+J29*H3)/D3</calculatedColumnFormula>
    </tableColumn>
    <tableColumn id="12" name="Poids valeur actionnariale dans la rémunération totale" dataDxfId="512">
      <calculatedColumnFormula>(F3*J10+G3*J23+H3*J32)/D3</calculatedColumnFormula>
    </tableColumn>
    <tableColumn id="13" name="Poids non financier dans la rémunération totale" dataDxfId="511">
      <calculatedColumnFormula>(J8*F3+J21*G3+J30*H3)/D3</calculatedColumnFormula>
    </tableColumn>
    <tableColumn id="14" name="Poids non financier mesurable dans la rémunération totale" dataDxfId="510">
      <calculatedColumnFormula>(J9*F3+J22*G3+J31*H3)/D3</calculatedColumnFormula>
    </tableColumn>
    <tableColumn id="16" name="Poids climatique dans la rémunération variable " dataDxfId="509"/>
    <tableColumn id="17" name="Poids climatique dans rémunération totale" dataDxfId="508"/>
  </tableColumns>
  <tableStyleInfo name="AIRLIQUIDE-style" showFirstColumn="1" showLastColumn="1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naultgroup.com/wp-content/uploads/2023/03/renault_deu_20230316.pdf" TargetMode="External"/><Relationship Id="rId18" Type="http://schemas.openxmlformats.org/officeDocument/2006/relationships/hyperlink" Target="https://www.credit-agricole.com/pdfPreview/197620" TargetMode="External"/><Relationship Id="rId26" Type="http://schemas.openxmlformats.org/officeDocument/2006/relationships/hyperlink" Target="https://www.bouygues.com/wp-content/uploads/2023/03/deu-2022_complet-2103_bycom.pdf" TargetMode="External"/><Relationship Id="rId39" Type="http://schemas.openxmlformats.org/officeDocument/2006/relationships/hyperlink" Target="https://www.vernimmen.net/Lire/Lettre_Vernimmen/Lettre_204.html" TargetMode="External"/><Relationship Id="rId21" Type="http://schemas.openxmlformats.org/officeDocument/2006/relationships/hyperlink" Target="https://www.engie.com/sites/default/files/assets/documents/2023-03/ENGIE2022_URD_FR_MEL2_23_03_10.pdf" TargetMode="External"/><Relationship Id="rId34" Type="http://schemas.openxmlformats.org/officeDocument/2006/relationships/hyperlink" Target="https://www.legrandgroup.com/sites/default/files/Documents_PDF_Legrand/Finance/2023/autres/Legrand_DEU_2022_FR_VDEF_1684154522.pdf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www.danone.com/content/dam/corp/global/danonecom/investors/fr-all-publications/2022/registrationdocuments/danoneurd2022fr.pdf" TargetMode="External"/><Relationship Id="rId2" Type="http://schemas.openxmlformats.org/officeDocument/2006/relationships/hyperlink" Target="https://investor.3ds.com/static-files/9c010aec-2cf4-4cd4-acfd-202f31f34623" TargetMode="External"/><Relationship Id="rId16" Type="http://schemas.openxmlformats.org/officeDocument/2006/relationships/hyperlink" Target="https://invest.bnpparibas/document/document-denregistrement-universel-2022" TargetMode="External"/><Relationship Id="rId20" Type="http://schemas.openxmlformats.org/officeDocument/2006/relationships/hyperlink" Target="https://www.societegenerale.com/sites/default/files/documents/2023-03/document-d-enregistrement-universel-2023-fr.pdf" TargetMode="External"/><Relationship Id="rId29" Type="http://schemas.openxmlformats.org/officeDocument/2006/relationships/hyperlink" Target="https://www.safran-group.com/sites/default/files/2023-04/PDF_MEL_SAFR_DEU_2022.pdf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www.teleperformance.com/media/101j4zxs/opt_telep_deu_2022_fr_mel.pdf" TargetMode="External"/><Relationship Id="rId6" Type="http://schemas.openxmlformats.org/officeDocument/2006/relationships/hyperlink" Target="https://www.essilorluxottica.com/fr/cap/content/77886/" TargetMode="External"/><Relationship Id="rId11" Type="http://schemas.openxmlformats.org/officeDocument/2006/relationships/hyperlink" Target="https://www.saint-gobain.com/sites/saint-gobain.com/files/media/document/DEU_2022_SAINT_GOBAIN_VF.pdf" TargetMode="External"/><Relationship Id="rId24" Type="http://schemas.openxmlformats.org/officeDocument/2006/relationships/hyperlink" Target="https://assets-finance.hermes.com/s3fs-public/node/pdf_file/2023-05/1684143290/her2022_deu_fr_01.pdf" TargetMode="External"/><Relationship Id="rId32" Type="http://schemas.openxmlformats.org/officeDocument/2006/relationships/hyperlink" Target="https://corporate.arcelormittal.com/media/obsd1lud/annual-report-2022.pdf" TargetMode="External"/><Relationship Id="rId37" Type="http://schemas.openxmlformats.org/officeDocument/2006/relationships/hyperlink" Target="https://cdn.urw.com/-/media/Corporate~o~Sites/Unibail-Rodamco-Corporate/Files/Homepage/INVESTORS/Regulated-Information/Registration-Documents/2023/20230307-Universal-Registration-Document_FR.pdf?h=362&amp;w=625&amp;revision=14ba931b-f422-46d5-90a4-c69d283869df" TargetMode="External"/><Relationship Id="rId40" Type="http://schemas.openxmlformats.org/officeDocument/2006/relationships/hyperlink" Target="https://www.vernimmen.net/Lire/Lettre_Vernimmen/Lettre_204.html" TargetMode="External"/><Relationship Id="rId5" Type="http://schemas.openxmlformats.org/officeDocument/2006/relationships/hyperlink" Target="https://www.pernod-ricard.com/sites/default/files/inline-files/Document%20d%27enregistrement%20universel%202023_VFR%20pdf.%20%282%29.pdf" TargetMode="External"/><Relationship Id="rId15" Type="http://schemas.openxmlformats.org/officeDocument/2006/relationships/hyperlink" Target="https://www.sanofi.fr/dam/jcr:b035f4c0-fa95-40ac-90e5-87feddfc0c7a/2022_Document_enregistrement_universel%20Sanofi%20(002).pdf" TargetMode="External"/><Relationship Id="rId23" Type="http://schemas.openxmlformats.org/officeDocument/2006/relationships/hyperlink" Target="https://www.airbus.com/sites/g/files/jlcbta136/files/2023-04/Airbus%20Universal%20Registration%20Document%202022.pdf" TargetMode="External"/><Relationship Id="rId28" Type="http://schemas.openxmlformats.org/officeDocument/2006/relationships/hyperlink" Target="https://www.veolia.com/sites/g/files/dvc4206/files/document/2023/04/VE_URD_2022_FR.pdf" TargetMode="External"/><Relationship Id="rId36" Type="http://schemas.openxmlformats.org/officeDocument/2006/relationships/hyperlink" Target="https://www.alstom.com/sites/alstom.com/files/2023/06/06/Alstom_2022_2023_Universal_Registration_Document_URD_FR.pdf" TargetMode="External"/><Relationship Id="rId10" Type="http://schemas.openxmlformats.org/officeDocument/2006/relationships/hyperlink" Target="https://www.loreal-finance.com/system/files/2023-03/LOREAL_Document_Enregistrement_Universel_2022_fr.pdf" TargetMode="External"/><Relationship Id="rId19" Type="http://schemas.openxmlformats.org/officeDocument/2006/relationships/hyperlink" Target="https://www.vinci.com/publi/vinci/vinci-document-enregistrement-universel-2022.pdf" TargetMode="External"/><Relationship Id="rId31" Type="http://schemas.openxmlformats.org/officeDocument/2006/relationships/hyperlink" Target="https://www.vivendi.com/publications/rapport-annuel-document-denregistrement-universel-2022/" TargetMode="External"/><Relationship Id="rId44" Type="http://schemas.openxmlformats.org/officeDocument/2006/relationships/comments" Target="../comments1.xml"/><Relationship Id="rId4" Type="http://schemas.openxmlformats.org/officeDocument/2006/relationships/hyperlink" Target="https://www.carrefour.com/sites/default/files/2023-04/Carrefour%20-%20Document%20d_enregistrement%20universel%202022_3.pdf" TargetMode="External"/><Relationship Id="rId9" Type="http://schemas.openxmlformats.org/officeDocument/2006/relationships/hyperlink" Target="https://totalenergies.com/sites/g/files/nytnzq121/files/documents/2023-03/TotalEnergies_DEU_2022_VF.pdf" TargetMode="External"/><Relationship Id="rId14" Type="http://schemas.openxmlformats.org/officeDocument/2006/relationships/hyperlink" Target="https://www.se.com/ww/fr/assets/342/document/394612/2022-document-enregistrement-universel.pdf" TargetMode="External"/><Relationship Id="rId22" Type="http://schemas.openxmlformats.org/officeDocument/2006/relationships/hyperlink" Target="https://www.orange.com/sites/orangecom/files/documents/2023-03/ORANGE_DEU_2022_VF.pdf" TargetMode="External"/><Relationship Id="rId27" Type="http://schemas.openxmlformats.org/officeDocument/2006/relationships/hyperlink" Target="https://www.thalesgroup.com/sites/default/files/2023-04/Thales%20-%20DEU%202022%20FR.pdf" TargetMode="External"/><Relationship Id="rId30" Type="http://schemas.openxmlformats.org/officeDocument/2006/relationships/hyperlink" Target="https://documents.publicisgroupe.com/urd2022/PBS_PUBLICIS_2022_URD_FR_MEL_23_04_26.pdf?v2" TargetMode="External"/><Relationship Id="rId35" Type="http://schemas.openxmlformats.org/officeDocument/2006/relationships/hyperlink" Target="https://cdnmedia.eurofins.com/corporate-eurofins/media/12160326/eurofins-scientific-2022-annual-report_final.pdf" TargetMode="External"/><Relationship Id="rId43" Type="http://schemas.openxmlformats.org/officeDocument/2006/relationships/table" Target="../tables/table2.xml"/><Relationship Id="rId8" Type="http://schemas.openxmlformats.org/officeDocument/2006/relationships/hyperlink" Target="https://investors.capgemini.com/fr/publication/document-denregistrement-universel-2022/" TargetMode="External"/><Relationship Id="rId3" Type="http://schemas.openxmlformats.org/officeDocument/2006/relationships/hyperlink" Target="https://www.stellantis.com/content/dam/stellantis-corporate/investors/financial-reports/Stellantis-NV-20221231-Annual-Report.pdf" TargetMode="External"/><Relationship Id="rId12" Type="http://schemas.openxmlformats.org/officeDocument/2006/relationships/hyperlink" Target="https://r.lvmh-static.com/uploads/2023/03/deu-2022-vf_vdef.pdf" TargetMode="External"/><Relationship Id="rId17" Type="http://schemas.openxmlformats.org/officeDocument/2006/relationships/hyperlink" Target="https://www-axa-com.cdn.axa-contento-118412.eu/www-axa-com/1bea9624-4b22-40c2-ba38-97d77c233c19_axa_urd2022_accessibleb_vf.pdf" TargetMode="External"/><Relationship Id="rId25" Type="http://schemas.openxmlformats.org/officeDocument/2006/relationships/hyperlink" Target="https://www.michelin.com/finance/informations-reglementees/rapport-annuel/" TargetMode="External"/><Relationship Id="rId33" Type="http://schemas.openxmlformats.org/officeDocument/2006/relationships/hyperlink" Target="https://investors.st.com/static-files/db4d90f3-46af-42de-b0b2-023e6b1f3f08" TargetMode="External"/><Relationship Id="rId38" Type="http://schemas.openxmlformats.org/officeDocument/2006/relationships/hyperlink" Target="https://investors.worldline.com/content/dam/investors-worldline-com/assets/documents/universal-registration-document/wdl2022-urd-fr-mel-23-04-26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r.lvmh-static.com/uploads/2023/03/deu-2022-vf_vdef.pdf" TargetMode="External"/><Relationship Id="rId18" Type="http://schemas.openxmlformats.org/officeDocument/2006/relationships/hyperlink" Target="https://www-axa-com.cdn.axa-contento-118412.eu/www-axa-com/1bea9624-4b22-40c2-ba38-97d77c233c19_axa_urd2022_accessibleb_vf.pdf" TargetMode="External"/><Relationship Id="rId26" Type="http://schemas.openxmlformats.org/officeDocument/2006/relationships/hyperlink" Target="https://assets-finance.hermes.com/s3fs-public/node/pdf_file/2023-05/1684143290/her2022_deu_fr_01.pdf" TargetMode="External"/><Relationship Id="rId39" Type="http://schemas.openxmlformats.org/officeDocument/2006/relationships/hyperlink" Target="https://cdn.urw.com/-/media/Corporate~o~Sites/Unibail-Rodamco-Corporate/Files/Homepage/INVESTORS/Regulated-Information/Registration-Documents/2023/20230307-Universal-Registration-Document_FR.pdf?h=362&amp;w=625&amp;revision=14ba931b-f422-46d5-90a4-c69d283869df" TargetMode="External"/><Relationship Id="rId21" Type="http://schemas.openxmlformats.org/officeDocument/2006/relationships/hyperlink" Target="https://www.societegenerale.com/sites/default/files/documents/2023-03/document-d-enregistrement-universel-2023-fr.pdf" TargetMode="External"/><Relationship Id="rId34" Type="http://schemas.openxmlformats.org/officeDocument/2006/relationships/hyperlink" Target="https://corporate.arcelormittal.com/media/obsd1lud/annual-report-2022.pdf" TargetMode="External"/><Relationship Id="rId42" Type="http://schemas.openxmlformats.org/officeDocument/2006/relationships/vmlDrawing" Target="../drawings/vmlDrawing2.vml"/><Relationship Id="rId7" Type="http://schemas.openxmlformats.org/officeDocument/2006/relationships/hyperlink" Target="https://www.essilorluxottica.com/fr/cap/content/77886/" TargetMode="External"/><Relationship Id="rId2" Type="http://schemas.openxmlformats.org/officeDocument/2006/relationships/hyperlink" Target="https://www.stellantis.com/content/dam/stellantis-corporate/investors/financial-reports/Stellantis-NV-20221231-Annual-Report.pdf" TargetMode="External"/><Relationship Id="rId16" Type="http://schemas.openxmlformats.org/officeDocument/2006/relationships/hyperlink" Target="https://www.sanofi.fr/dam/jcr:b035f4c0-fa95-40ac-90e5-87feddfc0c7a/2022_Document_enregistrement_universel%20Sanofi%20(002).pdf" TargetMode="External"/><Relationship Id="rId20" Type="http://schemas.openxmlformats.org/officeDocument/2006/relationships/hyperlink" Target="https://www.vinci.com/publi/vinci/vinci-document-enregistrement-universel-2022.pdf" TargetMode="External"/><Relationship Id="rId29" Type="http://schemas.openxmlformats.org/officeDocument/2006/relationships/hyperlink" Target="https://www.thalesgroup.com/sites/default/files/2023-04/Thales%20-%20DEU%202022%20FR.pdf" TargetMode="External"/><Relationship Id="rId41" Type="http://schemas.openxmlformats.org/officeDocument/2006/relationships/printerSettings" Target="../printerSettings/printerSettings3.bin"/><Relationship Id="rId1" Type="http://schemas.openxmlformats.org/officeDocument/2006/relationships/hyperlink" Target="https://www.teleperformance.com/media/101j4zxs/opt_telep_deu_2022_fr_mel.pdf" TargetMode="External"/><Relationship Id="rId6" Type="http://schemas.openxmlformats.org/officeDocument/2006/relationships/hyperlink" Target="https://www.pernod-ricard.com/sites/default/files/inline-files/Document%20d%27enregistrement%20universel%202023_VFR%20pdf.%20%282%29.pdf" TargetMode="External"/><Relationship Id="rId11" Type="http://schemas.openxmlformats.org/officeDocument/2006/relationships/hyperlink" Target="https://www.loreal-finance.com/system/files/2023-03/LOREAL_Document_Enregistrement_Universel_2022_fr.pdf" TargetMode="External"/><Relationship Id="rId24" Type="http://schemas.openxmlformats.org/officeDocument/2006/relationships/hyperlink" Target="https://www.airliquide.com/sites/airliquide.com/files/2023-03/air-liquide-document-enregistrement-universel-2022-interactif.pdf" TargetMode="External"/><Relationship Id="rId32" Type="http://schemas.openxmlformats.org/officeDocument/2006/relationships/hyperlink" Target="https://documents.publicisgroupe.com/urd2022/PBS_PUBLICIS_2022_URD_FR_MEL_23_04_26.pdf?v2" TargetMode="External"/><Relationship Id="rId37" Type="http://schemas.openxmlformats.org/officeDocument/2006/relationships/hyperlink" Target="https://cdnmedia.eurofins.com/corporate-eurofins/media/12160326/eurofins-scientific-2022-annual-report_final.pdf" TargetMode="External"/><Relationship Id="rId40" Type="http://schemas.openxmlformats.org/officeDocument/2006/relationships/hyperlink" Target="https://investors.worldline.com/content/dam/investors-worldline-com/assets/documents/universal-registration-document/wdl2022-urd-fr-mel-23-04-26.pdf" TargetMode="External"/><Relationship Id="rId5" Type="http://schemas.openxmlformats.org/officeDocument/2006/relationships/hyperlink" Target="https://www.kering.com/api/download-file/?path=KERING_DEU_2022_FR_63c66c483f.pdf" TargetMode="External"/><Relationship Id="rId15" Type="http://schemas.openxmlformats.org/officeDocument/2006/relationships/hyperlink" Target="https://www.se.com/ww/fr/assets/342/document/394612/2022-document-enregistrement-universel.pdf" TargetMode="External"/><Relationship Id="rId23" Type="http://schemas.openxmlformats.org/officeDocument/2006/relationships/hyperlink" Target="https://www.orange.com/sites/orangecom/files/documents/2023-03/ORANGE_DEU_2022_VF.pdf" TargetMode="External"/><Relationship Id="rId28" Type="http://schemas.openxmlformats.org/officeDocument/2006/relationships/hyperlink" Target="https://www.bouygues.com/wp-content/uploads/2023/03/deu-2022_complet-2103_bycom.pdf" TargetMode="External"/><Relationship Id="rId36" Type="http://schemas.openxmlformats.org/officeDocument/2006/relationships/hyperlink" Target="https://www.legrandgroup.com/sites/default/files/Documents_PDF_Legrand/Finance/2023/autres/Legrand_DEU_2022_FR_VDEF_1684154522.pdf" TargetMode="External"/><Relationship Id="rId10" Type="http://schemas.openxmlformats.org/officeDocument/2006/relationships/hyperlink" Target="https://totalenergies.com/sites/g/files/nytnzq121/files/documents/2023-03/TotalEnergies_DEU_2022_VF.pdf" TargetMode="External"/><Relationship Id="rId19" Type="http://schemas.openxmlformats.org/officeDocument/2006/relationships/hyperlink" Target="https://www.credit-agricole.com/pdfPreview/197620" TargetMode="External"/><Relationship Id="rId31" Type="http://schemas.openxmlformats.org/officeDocument/2006/relationships/hyperlink" Target="https://www.safran-group.com/sites/default/files/2023-04/PDF_MEL_SAFR_DEU_2022.pdf" TargetMode="External"/><Relationship Id="rId44" Type="http://schemas.openxmlformats.org/officeDocument/2006/relationships/comments" Target="../comments2.xml"/><Relationship Id="rId4" Type="http://schemas.openxmlformats.org/officeDocument/2006/relationships/hyperlink" Target="https://investor.3ds.com/static-files/9c010aec-2cf4-4cd4-acfd-202f31f34623" TargetMode="External"/><Relationship Id="rId9" Type="http://schemas.openxmlformats.org/officeDocument/2006/relationships/hyperlink" Target="https://investors.capgemini.com/fr/publication/document-denregistrement-universel-2022/" TargetMode="External"/><Relationship Id="rId14" Type="http://schemas.openxmlformats.org/officeDocument/2006/relationships/hyperlink" Target="https://www.renaultgroup.com/wp-content/uploads/2023/03/renault_deu_20230316.pdf" TargetMode="External"/><Relationship Id="rId22" Type="http://schemas.openxmlformats.org/officeDocument/2006/relationships/hyperlink" Target="https://www.engie.com/sites/default/files/assets/documents/2023-03/ENGIE2022_URD_FR_MEL2_23_03_10.pdf" TargetMode="External"/><Relationship Id="rId27" Type="http://schemas.openxmlformats.org/officeDocument/2006/relationships/hyperlink" Target="https://www.michelin.com/finance/informations-reglementees/rapport-annuel/" TargetMode="External"/><Relationship Id="rId30" Type="http://schemas.openxmlformats.org/officeDocument/2006/relationships/hyperlink" Target="https://www.veolia.com/sites/g/files/dvc4206/files/document/2023/04/VE_URD_2022_FR.pdf" TargetMode="External"/><Relationship Id="rId35" Type="http://schemas.openxmlformats.org/officeDocument/2006/relationships/hyperlink" Target="https://investors.st.com/static-files/db4d90f3-46af-42de-b0b2-023e6b1f3f08" TargetMode="External"/><Relationship Id="rId43" Type="http://schemas.openxmlformats.org/officeDocument/2006/relationships/table" Target="../tables/table3.xml"/><Relationship Id="rId8" Type="http://schemas.openxmlformats.org/officeDocument/2006/relationships/hyperlink" Target="https://www.danone.com/content/dam/corp/global/danonecom/investors/fr-all-publications/2022/registrationdocuments/danoneurd2022fr.pdf" TargetMode="External"/><Relationship Id="rId3" Type="http://schemas.openxmlformats.org/officeDocument/2006/relationships/hyperlink" Target="https://www.carrefour.com/sites/default/files/2023-04/Carrefour%20-%20Document%20d_enregistrement%20universel%202022_3.pdf" TargetMode="External"/><Relationship Id="rId12" Type="http://schemas.openxmlformats.org/officeDocument/2006/relationships/hyperlink" Target="https://www.saint-gobain.com/sites/saint-gobain.com/files/media/document/DEU_2022_SAINT_GOBAIN_VF.pdf" TargetMode="External"/><Relationship Id="rId17" Type="http://schemas.openxmlformats.org/officeDocument/2006/relationships/hyperlink" Target="https://invest.bnpparibas/document/document-denregistrement-universel-2022" TargetMode="External"/><Relationship Id="rId25" Type="http://schemas.openxmlformats.org/officeDocument/2006/relationships/hyperlink" Target="https://www.airbus.com/sites/g/files/jlcbta136/files/2023-04/Airbus%20Universal%20Registration%20Document%202022.pdf" TargetMode="External"/><Relationship Id="rId33" Type="http://schemas.openxmlformats.org/officeDocument/2006/relationships/hyperlink" Target="https://www.vivendi.com/publications/rapport-annuel-document-denregistrement-universel-2022/" TargetMode="External"/><Relationship Id="rId38" Type="http://schemas.openxmlformats.org/officeDocument/2006/relationships/hyperlink" Target="https://www.alstom.com/sites/alstom.com/files/2023/06/06/Alstom_2022_2023_Universal_Registration_Document_URD_FR.pdf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8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66" workbookViewId="0">
      <selection activeCell="I54" sqref="I54"/>
    </sheetView>
  </sheetViews>
  <sheetFormatPr baseColWidth="10" defaultRowHeight="14.4" x14ac:dyDescent="0.3"/>
  <cols>
    <col min="1" max="1" width="11.6640625" bestFit="1" customWidth="1"/>
    <col min="2" max="2" width="27.21875" customWidth="1"/>
    <col min="3" max="3" width="25.88671875" bestFit="1" customWidth="1"/>
    <col min="4" max="4" width="18.88671875" customWidth="1"/>
    <col min="5" max="5" width="28.109375" customWidth="1"/>
    <col min="6" max="6" width="22.109375" customWidth="1"/>
    <col min="7" max="7" width="29.109375" customWidth="1"/>
    <col min="8" max="8" width="19.44140625" customWidth="1"/>
    <col min="9" max="9" width="15.88671875" customWidth="1"/>
    <col min="10" max="10" width="17.44140625" customWidth="1"/>
    <col min="11" max="11" width="14" customWidth="1"/>
    <col min="12" max="12" width="14.21875" customWidth="1"/>
    <col min="13" max="13" width="20.109375" customWidth="1"/>
    <col min="14" max="14" width="18.33203125" customWidth="1"/>
    <col min="15" max="15" width="22.44140625" customWidth="1"/>
    <col min="16" max="16" width="19.44140625" customWidth="1"/>
    <col min="17" max="17" width="25.5546875" customWidth="1"/>
  </cols>
  <sheetData>
    <row r="1" spans="1:17" ht="69" x14ac:dyDescent="0.3">
      <c r="A1" s="103" t="s">
        <v>643</v>
      </c>
      <c r="B1" s="103" t="s">
        <v>644</v>
      </c>
      <c r="C1" s="103" t="s">
        <v>645</v>
      </c>
      <c r="D1" s="103" t="s">
        <v>646</v>
      </c>
      <c r="E1" s="103" t="s">
        <v>647</v>
      </c>
      <c r="F1" s="103" t="s">
        <v>648</v>
      </c>
      <c r="G1" s="103" t="s">
        <v>649</v>
      </c>
      <c r="H1" s="103" t="s">
        <v>650</v>
      </c>
      <c r="I1" s="103" t="s">
        <v>651</v>
      </c>
      <c r="J1" s="103" t="s">
        <v>652</v>
      </c>
      <c r="K1" s="103" t="s">
        <v>653</v>
      </c>
      <c r="L1" s="103" t="s">
        <v>654</v>
      </c>
      <c r="M1" s="103" t="s">
        <v>655</v>
      </c>
      <c r="N1" s="103" t="s">
        <v>656</v>
      </c>
      <c r="O1" s="103" t="s">
        <v>657</v>
      </c>
      <c r="P1" s="103" t="s">
        <v>658</v>
      </c>
      <c r="Q1" s="338" t="s">
        <v>667</v>
      </c>
    </row>
    <row r="2" spans="1:17" s="231" customFormat="1" x14ac:dyDescent="0.3">
      <c r="A2" s="347">
        <v>2019</v>
      </c>
      <c r="B2" s="347" t="s">
        <v>659</v>
      </c>
      <c r="C2" s="347" t="s">
        <v>44</v>
      </c>
      <c r="D2" s="343">
        <v>4410900000</v>
      </c>
      <c r="E2" s="343">
        <v>65638.392857142899</v>
      </c>
      <c r="F2" s="343">
        <v>5649710</v>
      </c>
      <c r="G2" s="343">
        <v>1325000</v>
      </c>
      <c r="H2" s="343">
        <v>0</v>
      </c>
      <c r="I2" s="343">
        <v>10234</v>
      </c>
      <c r="J2" s="343">
        <v>2249563</v>
      </c>
      <c r="K2" s="343">
        <v>2064913</v>
      </c>
      <c r="L2" s="343">
        <v>0</v>
      </c>
      <c r="M2" s="343">
        <v>801700000</v>
      </c>
      <c r="N2" s="343">
        <v>2241500000</v>
      </c>
      <c r="O2" s="343">
        <v>2147800000</v>
      </c>
      <c r="P2" s="343">
        <v>67200</v>
      </c>
      <c r="Q2" s="231">
        <f>F2/E2</f>
        <v>86.073253077603155</v>
      </c>
    </row>
    <row r="3" spans="1:17" s="231" customFormat="1" x14ac:dyDescent="0.3">
      <c r="A3" s="347">
        <v>2019</v>
      </c>
      <c r="B3" s="347" t="s">
        <v>659</v>
      </c>
      <c r="C3" s="347" t="s">
        <v>45</v>
      </c>
      <c r="D3" s="344">
        <v>13973000000</v>
      </c>
      <c r="E3" s="345">
        <f>D3/134931</f>
        <v>103556.63264928</v>
      </c>
      <c r="F3" s="344">
        <v>4328605</v>
      </c>
      <c r="G3" s="344">
        <v>1391946</v>
      </c>
      <c r="H3" s="344"/>
      <c r="I3" s="344">
        <v>33802</v>
      </c>
      <c r="J3" s="344">
        <v>1350000</v>
      </c>
      <c r="K3" s="344">
        <v>1552857</v>
      </c>
      <c r="L3" s="343">
        <v>0</v>
      </c>
      <c r="M3" s="343">
        <v>2389000000</v>
      </c>
      <c r="N3" s="343">
        <v>-1362000000</v>
      </c>
      <c r="O3" s="343">
        <v>3388000000</v>
      </c>
      <c r="P3" s="343">
        <v>134931</v>
      </c>
      <c r="Q3" s="231">
        <f t="shared" ref="Q3:Q41" si="0">F3/E3</f>
        <v>41.79939893043727</v>
      </c>
    </row>
    <row r="4" spans="1:17" s="231" customFormat="1" x14ac:dyDescent="0.3">
      <c r="A4" s="347">
        <v>2019</v>
      </c>
      <c r="B4" s="347" t="s">
        <v>659</v>
      </c>
      <c r="C4" s="347" t="s">
        <v>56</v>
      </c>
      <c r="D4" s="343">
        <v>2716000000</v>
      </c>
      <c r="E4" s="343">
        <v>69857.763831374294</v>
      </c>
      <c r="F4" s="343">
        <v>3377612</v>
      </c>
      <c r="G4" s="343">
        <v>825000</v>
      </c>
      <c r="H4" s="343">
        <v>0</v>
      </c>
      <c r="I4" s="343">
        <v>10767</v>
      </c>
      <c r="J4" s="343">
        <v>1635830</v>
      </c>
      <c r="K4" s="343">
        <v>906015</v>
      </c>
      <c r="L4" s="343">
        <v>0</v>
      </c>
      <c r="M4" s="343">
        <v>118000000</v>
      </c>
      <c r="N4" s="343">
        <v>467000000</v>
      </c>
      <c r="O4" s="343">
        <v>293000000</v>
      </c>
      <c r="P4" s="343">
        <v>38879</v>
      </c>
      <c r="Q4" s="231">
        <f t="shared" si="0"/>
        <v>48.349844237113381</v>
      </c>
    </row>
    <row r="5" spans="1:17" s="231" customFormat="1" x14ac:dyDescent="0.3">
      <c r="A5" s="347">
        <v>2019</v>
      </c>
      <c r="B5" s="347" t="s">
        <v>659</v>
      </c>
      <c r="C5" s="347" t="s">
        <v>660</v>
      </c>
      <c r="D5" s="343">
        <v>9155188192</v>
      </c>
      <c r="E5" s="343">
        <v>86125.947243650095</v>
      </c>
      <c r="F5" s="343">
        <v>5476786</v>
      </c>
      <c r="G5" s="343">
        <v>1396567</v>
      </c>
      <c r="H5" s="343">
        <v>0</v>
      </c>
      <c r="I5" s="343">
        <v>41835</v>
      </c>
      <c r="J5" s="343">
        <v>1191844</v>
      </c>
      <c r="K5" s="343">
        <v>2846540</v>
      </c>
      <c r="L5" s="343">
        <v>0</v>
      </c>
      <c r="M5" s="343">
        <v>410013795</v>
      </c>
      <c r="N5" s="343">
        <v>-2192099895</v>
      </c>
      <c r="O5" s="343">
        <v>4461021546</v>
      </c>
      <c r="P5" s="343">
        <v>106300</v>
      </c>
      <c r="Q5" s="231">
        <f t="shared" si="0"/>
        <v>63.590429774968811</v>
      </c>
    </row>
    <row r="6" spans="1:17" s="231" customFormat="1" x14ac:dyDescent="0.3">
      <c r="A6" s="347">
        <v>2019</v>
      </c>
      <c r="B6" s="347" t="s">
        <v>659</v>
      </c>
      <c r="C6" s="347" t="s">
        <v>38</v>
      </c>
      <c r="D6" s="343">
        <v>8144000000</v>
      </c>
      <c r="E6" s="343">
        <f>Tableau48[[#This Row],[Personnel Expenses (RO)]]/Tableau48[[#This Row],[Number Of Employees (RO)]]</f>
        <v>81568.061857115666</v>
      </c>
      <c r="F6" s="343">
        <v>5088102</v>
      </c>
      <c r="G6" s="343">
        <v>1450000</v>
      </c>
      <c r="H6" s="343">
        <v>0</v>
      </c>
      <c r="I6" s="343">
        <v>4044</v>
      </c>
      <c r="J6" s="343">
        <v>2024558</v>
      </c>
      <c r="K6" s="343">
        <v>1609500</v>
      </c>
      <c r="L6" s="343">
        <v>0</v>
      </c>
      <c r="M6" s="343"/>
      <c r="N6" s="343"/>
      <c r="O6" s="343"/>
      <c r="P6" s="343">
        <v>99843</v>
      </c>
      <c r="Q6" s="231">
        <f>F6/E6</f>
        <v>62.37860608865423</v>
      </c>
    </row>
    <row r="7" spans="1:17" s="231" customFormat="1" x14ac:dyDescent="0.3">
      <c r="A7" s="347">
        <v>2019</v>
      </c>
      <c r="B7" s="347" t="s">
        <v>659</v>
      </c>
      <c r="C7" s="347" t="s">
        <v>37</v>
      </c>
      <c r="D7" s="343">
        <v>17553000000</v>
      </c>
      <c r="E7" s="343">
        <f>Tableau48[[#This Row],[Personnel Expenses (RO)]]/Tableau48[[#This Row],[Number Of Employees (RO)]]</f>
        <v>88287.662964751333</v>
      </c>
      <c r="F7" s="343">
        <v>3858171</v>
      </c>
      <c r="G7" s="343">
        <v>1562000</v>
      </c>
      <c r="H7" s="343">
        <v>0</v>
      </c>
      <c r="I7" s="343">
        <v>66729</v>
      </c>
      <c r="J7" s="343">
        <v>0</v>
      </c>
      <c r="K7" s="343">
        <v>1611515</v>
      </c>
      <c r="L7" s="343">
        <v>617927</v>
      </c>
      <c r="M7" s="343"/>
      <c r="N7" s="343">
        <v>8173000000</v>
      </c>
      <c r="O7" s="343"/>
      <c r="P7" s="343">
        <v>198816</v>
      </c>
      <c r="Q7" s="231">
        <f>F7/E7</f>
        <v>43.700001454794048</v>
      </c>
    </row>
    <row r="8" spans="1:17" s="231" customFormat="1" x14ac:dyDescent="0.3">
      <c r="A8" s="347">
        <v>2019</v>
      </c>
      <c r="B8" s="347" t="s">
        <v>659</v>
      </c>
      <c r="C8" s="347" t="s">
        <v>48</v>
      </c>
      <c r="D8" s="343">
        <v>8376000000</v>
      </c>
      <c r="E8" s="343">
        <v>64208.509007282497</v>
      </c>
      <c r="F8" s="343">
        <v>2517080</v>
      </c>
      <c r="G8" s="343">
        <v>920000</v>
      </c>
      <c r="H8" s="343">
        <v>0</v>
      </c>
      <c r="I8" s="343">
        <v>125080</v>
      </c>
      <c r="J8" s="343">
        <v>0</v>
      </c>
      <c r="K8" s="343">
        <v>1472000</v>
      </c>
      <c r="L8" s="343">
        <v>0</v>
      </c>
      <c r="M8" s="343">
        <v>452000000</v>
      </c>
      <c r="N8" s="343">
        <v>1184000000</v>
      </c>
      <c r="O8" s="343">
        <v>2153000000</v>
      </c>
      <c r="P8" s="343">
        <v>130450</v>
      </c>
      <c r="Q8" s="231">
        <f t="shared" si="0"/>
        <v>39.201657831900661</v>
      </c>
    </row>
    <row r="9" spans="1:17" s="231" customFormat="1" x14ac:dyDescent="0.3">
      <c r="A9" s="347">
        <v>2019</v>
      </c>
      <c r="B9" s="347" t="s">
        <v>659</v>
      </c>
      <c r="C9" s="347" t="s">
        <v>15</v>
      </c>
      <c r="D9" s="343">
        <v>8918000000</v>
      </c>
      <c r="E9" s="343">
        <v>40663.158758674799</v>
      </c>
      <c r="F9" s="343">
        <v>4839246</v>
      </c>
      <c r="G9" s="343">
        <v>1452000</v>
      </c>
      <c r="H9" s="343">
        <v>0</v>
      </c>
      <c r="I9" s="343">
        <v>0</v>
      </c>
      <c r="J9" s="343">
        <v>2075466</v>
      </c>
      <c r="K9" s="343">
        <v>1311780</v>
      </c>
      <c r="L9" s="343">
        <v>0</v>
      </c>
      <c r="M9" s="343">
        <v>502000000</v>
      </c>
      <c r="N9" s="343">
        <v>856000000</v>
      </c>
      <c r="O9" s="343">
        <v>618000000</v>
      </c>
      <c r="P9" s="343">
        <v>219314</v>
      </c>
      <c r="Q9" s="231">
        <f t="shared" si="0"/>
        <v>119.00811810316208</v>
      </c>
    </row>
    <row r="10" spans="1:17" s="231" customFormat="1" x14ac:dyDescent="0.3">
      <c r="A10" s="347">
        <v>2019</v>
      </c>
      <c r="B10" s="347" t="s">
        <v>659</v>
      </c>
      <c r="C10" s="347" t="s">
        <v>11</v>
      </c>
      <c r="D10" s="343">
        <v>7547000000</v>
      </c>
      <c r="E10" s="343">
        <v>23482.884906793399</v>
      </c>
      <c r="F10" s="343">
        <v>7649483</v>
      </c>
      <c r="G10" s="343">
        <v>1500000</v>
      </c>
      <c r="H10" s="343">
        <v>0</v>
      </c>
      <c r="I10" s="343">
        <v>78055</v>
      </c>
      <c r="J10" s="343">
        <v>3596428</v>
      </c>
      <c r="K10" s="343">
        <v>2475000</v>
      </c>
      <c r="L10" s="343">
        <v>0</v>
      </c>
      <c r="M10" s="343">
        <v>503000000</v>
      </c>
      <c r="N10" s="343">
        <v>1126000000</v>
      </c>
      <c r="O10" s="343">
        <v>2365000000</v>
      </c>
      <c r="P10" s="343">
        <v>321383</v>
      </c>
      <c r="Q10" s="231">
        <f t="shared" si="0"/>
        <v>325.74715714707906</v>
      </c>
    </row>
    <row r="11" spans="1:17" s="231" customFormat="1" x14ac:dyDescent="0.3">
      <c r="A11" s="347">
        <v>2019</v>
      </c>
      <c r="B11" s="347" t="s">
        <v>659</v>
      </c>
      <c r="C11" s="347" t="s">
        <v>39</v>
      </c>
      <c r="D11" s="343">
        <v>7147000000</v>
      </c>
      <c r="E11" s="343">
        <v>97854.512096608596</v>
      </c>
      <c r="F11" s="343">
        <v>1728650</v>
      </c>
      <c r="G11" s="343">
        <v>1100000</v>
      </c>
      <c r="H11" s="343">
        <v>0</v>
      </c>
      <c r="I11" s="343">
        <v>0</v>
      </c>
      <c r="J11" s="343">
        <v>0</v>
      </c>
      <c r="K11" s="343">
        <v>628650</v>
      </c>
      <c r="L11" s="343">
        <v>0</v>
      </c>
      <c r="M11" s="343"/>
      <c r="N11" s="343">
        <v>4844000000</v>
      </c>
      <c r="O11" s="343"/>
      <c r="P11" s="343">
        <v>73037</v>
      </c>
      <c r="Q11" s="231">
        <f t="shared" si="0"/>
        <v>17.665511410381974</v>
      </c>
    </row>
    <row r="12" spans="1:17" s="231" customFormat="1" x14ac:dyDescent="0.3">
      <c r="A12" s="347">
        <v>2019</v>
      </c>
      <c r="B12" s="347" t="s">
        <v>659</v>
      </c>
      <c r="C12" s="347" t="s">
        <v>14</v>
      </c>
      <c r="D12" s="343">
        <v>3982000000</v>
      </c>
      <c r="E12" s="343">
        <v>38868.119747386503</v>
      </c>
      <c r="F12" s="343">
        <v>4032802</v>
      </c>
      <c r="G12" s="343">
        <v>1000000</v>
      </c>
      <c r="H12" s="343">
        <v>0</v>
      </c>
      <c r="I12" s="343">
        <v>7402</v>
      </c>
      <c r="J12" s="343">
        <v>2000400</v>
      </c>
      <c r="K12" s="343">
        <v>1025000</v>
      </c>
      <c r="L12" s="343">
        <v>0</v>
      </c>
      <c r="M12" s="343">
        <v>793000000</v>
      </c>
      <c r="N12" s="343">
        <v>1929000000</v>
      </c>
      <c r="O12" s="343">
        <v>871000000</v>
      </c>
      <c r="P12" s="343">
        <v>102449</v>
      </c>
      <c r="Q12" s="231">
        <f t="shared" si="0"/>
        <v>103.7560351828227</v>
      </c>
    </row>
    <row r="13" spans="1:17" s="231" customFormat="1" x14ac:dyDescent="0.3">
      <c r="A13" s="347">
        <v>2019</v>
      </c>
      <c r="B13" s="347" t="s">
        <v>659</v>
      </c>
      <c r="C13" s="347" t="s">
        <v>661</v>
      </c>
      <c r="D13" s="343">
        <v>1894400000</v>
      </c>
      <c r="E13" s="343">
        <f>Tableau48[[#This Row],[Personnel Expenses (RO)]]/Tableau48[[#This Row],[Number Of Employees (RO)]]</f>
        <v>111004.33610687917</v>
      </c>
      <c r="F13" s="343">
        <v>24731879</v>
      </c>
      <c r="G13" s="343">
        <v>1390000</v>
      </c>
      <c r="H13" s="343">
        <v>0</v>
      </c>
      <c r="I13" s="343">
        <v>50573</v>
      </c>
      <c r="J13" s="343">
        <v>21734506</v>
      </c>
      <c r="K13" s="343">
        <v>1556800</v>
      </c>
      <c r="L13" s="343">
        <v>0</v>
      </c>
      <c r="M13" s="343">
        <v>209600000</v>
      </c>
      <c r="N13" s="343">
        <v>615300000</v>
      </c>
      <c r="O13" s="343">
        <v>396000000</v>
      </c>
      <c r="P13" s="343">
        <v>17066</v>
      </c>
      <c r="Q13" s="231">
        <f>F13/E13</f>
        <v>222.80101721600508</v>
      </c>
    </row>
    <row r="14" spans="1:17" s="231" customFormat="1" x14ac:dyDescent="0.3">
      <c r="A14" s="347">
        <v>2019</v>
      </c>
      <c r="B14" s="347" t="s">
        <v>659</v>
      </c>
      <c r="C14" s="347" t="s">
        <v>42</v>
      </c>
      <c r="D14" s="343">
        <v>11478000000</v>
      </c>
      <c r="E14" s="343">
        <v>67082.400659252002</v>
      </c>
      <c r="F14" s="343">
        <v>5386147</v>
      </c>
      <c r="G14" s="343">
        <v>1000000</v>
      </c>
      <c r="H14" s="343">
        <v>0</v>
      </c>
      <c r="I14" s="343">
        <v>3724647</v>
      </c>
      <c r="J14" s="343">
        <v>0</v>
      </c>
      <c r="K14" s="343">
        <v>661500</v>
      </c>
      <c r="L14" s="343">
        <v>0</v>
      </c>
      <c r="M14" s="343">
        <v>640000000</v>
      </c>
      <c r="N14" s="343">
        <v>984000000</v>
      </c>
      <c r="O14" s="343">
        <v>6287000000</v>
      </c>
      <c r="P14" s="343">
        <v>171103</v>
      </c>
      <c r="Q14" s="231">
        <f t="shared" si="0"/>
        <v>80.291506372277439</v>
      </c>
    </row>
    <row r="15" spans="1:17" s="231" customFormat="1" x14ac:dyDescent="0.3">
      <c r="A15" s="347">
        <v>2019</v>
      </c>
      <c r="B15" s="347" t="s">
        <v>659</v>
      </c>
      <c r="C15" s="347" t="s">
        <v>662</v>
      </c>
      <c r="D15" s="343">
        <v>5344000000</v>
      </c>
      <c r="E15" s="343">
        <v>34938.6089935536</v>
      </c>
      <c r="F15" s="343">
        <v>3649900</v>
      </c>
      <c r="G15" s="343">
        <v>1062500</v>
      </c>
      <c r="H15" s="343">
        <v>0</v>
      </c>
      <c r="I15" s="343">
        <v>97000</v>
      </c>
      <c r="J15" s="343">
        <v>2490400</v>
      </c>
      <c r="K15" s="343">
        <v>0</v>
      </c>
      <c r="L15" s="343">
        <v>0</v>
      </c>
      <c r="M15" s="343">
        <v>350000000</v>
      </c>
      <c r="N15" s="343">
        <v>1077000000</v>
      </c>
      <c r="O15" s="343">
        <v>2148000000</v>
      </c>
      <c r="P15" s="343">
        <v>152954</v>
      </c>
      <c r="Q15" s="231">
        <f t="shared" si="0"/>
        <v>104.46609367514975</v>
      </c>
    </row>
    <row r="16" spans="1:17" s="231" customFormat="1" x14ac:dyDescent="0.3">
      <c r="A16" s="347">
        <v>2019</v>
      </c>
      <c r="B16" s="347" t="s">
        <v>659</v>
      </c>
      <c r="C16" s="347" t="s">
        <v>55</v>
      </c>
      <c r="D16" s="343">
        <v>2189800000</v>
      </c>
      <c r="E16" s="343">
        <v>50549.399815327793</v>
      </c>
      <c r="F16" s="343">
        <v>1189214</v>
      </c>
      <c r="G16" s="343">
        <v>1154000</v>
      </c>
      <c r="H16" s="343">
        <v>11814</v>
      </c>
      <c r="I16" s="343">
        <v>23400</v>
      </c>
      <c r="J16" s="343">
        <v>0</v>
      </c>
      <c r="K16" s="343">
        <v>0</v>
      </c>
      <c r="L16" s="343">
        <v>0</v>
      </c>
      <c r="M16" s="343">
        <v>76200000</v>
      </c>
      <c r="N16" s="343">
        <v>195300000</v>
      </c>
      <c r="O16" s="343">
        <v>495900000</v>
      </c>
      <c r="P16" s="343">
        <v>43320</v>
      </c>
      <c r="Q16" s="231">
        <f t="shared" si="0"/>
        <v>23.525778829116813</v>
      </c>
    </row>
    <row r="17" spans="1:17" s="231" customFormat="1" x14ac:dyDescent="0.3">
      <c r="A17" s="347">
        <v>2019</v>
      </c>
      <c r="B17" s="347" t="s">
        <v>659</v>
      </c>
      <c r="C17" s="347" t="s">
        <v>663</v>
      </c>
      <c r="D17" s="343">
        <v>1253700000</v>
      </c>
      <c r="E17" s="343">
        <v>81319.3228254524</v>
      </c>
      <c r="F17" s="343">
        <v>3403463</v>
      </c>
      <c r="G17" s="343">
        <v>1623378</v>
      </c>
      <c r="H17" s="343">
        <v>0</v>
      </c>
      <c r="I17" s="343">
        <v>40</v>
      </c>
      <c r="J17" s="343">
        <v>0</v>
      </c>
      <c r="K17" s="343">
        <v>1780045</v>
      </c>
      <c r="L17" s="343">
        <v>0</v>
      </c>
      <c r="M17" s="343">
        <v>750900000</v>
      </c>
      <c r="N17" s="343">
        <v>1528200000</v>
      </c>
      <c r="O17" s="343">
        <v>486800000</v>
      </c>
      <c r="P17" s="343">
        <v>15417</v>
      </c>
      <c r="Q17" s="231">
        <f t="shared" si="0"/>
        <v>41.853066180904534</v>
      </c>
    </row>
    <row r="18" spans="1:17" s="231" customFormat="1" x14ac:dyDescent="0.3">
      <c r="A18" s="347">
        <v>2019</v>
      </c>
      <c r="B18" s="347" t="s">
        <v>659</v>
      </c>
      <c r="C18" s="347" t="s">
        <v>8</v>
      </c>
      <c r="D18" s="343">
        <v>2290800000</v>
      </c>
      <c r="E18" s="343">
        <v>60176.526216244602</v>
      </c>
      <c r="F18" s="343">
        <v>11070802</v>
      </c>
      <c r="G18" s="343">
        <v>1200000</v>
      </c>
      <c r="H18" s="343">
        <v>0</v>
      </c>
      <c r="I18" s="343">
        <v>5779939</v>
      </c>
      <c r="J18" s="343">
        <v>3143775</v>
      </c>
      <c r="K18" s="343">
        <v>947088</v>
      </c>
      <c r="L18" s="343">
        <v>0</v>
      </c>
      <c r="M18" s="343">
        <v>2133700000</v>
      </c>
      <c r="N18" s="343">
        <v>2308600000</v>
      </c>
      <c r="O18" s="343">
        <v>1331600000</v>
      </c>
      <c r="P18" s="343">
        <v>38068</v>
      </c>
      <c r="Q18" s="231">
        <f t="shared" si="0"/>
        <v>183.97210168325481</v>
      </c>
    </row>
    <row r="19" spans="1:17" s="231" customFormat="1" x14ac:dyDescent="0.3">
      <c r="A19" s="347">
        <v>2019</v>
      </c>
      <c r="B19" s="347" t="s">
        <v>659</v>
      </c>
      <c r="C19" s="347" t="s">
        <v>54</v>
      </c>
      <c r="D19" s="343">
        <v>1641600000</v>
      </c>
      <c r="E19" s="343">
        <v>46963.238449434997</v>
      </c>
      <c r="F19" s="343">
        <v>2754258</v>
      </c>
      <c r="G19" s="343">
        <v>700000</v>
      </c>
      <c r="H19" s="343">
        <v>0</v>
      </c>
      <c r="I19" s="343">
        <v>4413</v>
      </c>
      <c r="J19" s="343">
        <v>1204245</v>
      </c>
      <c r="K19" s="343">
        <v>845600</v>
      </c>
      <c r="L19" s="343">
        <v>0</v>
      </c>
      <c r="M19" s="343">
        <v>318300000</v>
      </c>
      <c r="N19" s="343">
        <v>834800000</v>
      </c>
      <c r="O19" s="343">
        <v>242800000</v>
      </c>
      <c r="P19" s="343">
        <v>34955</v>
      </c>
      <c r="Q19" s="231">
        <f t="shared" si="0"/>
        <v>58.64710550073098</v>
      </c>
    </row>
    <row r="20" spans="1:17" s="231" customFormat="1" x14ac:dyDescent="0.3">
      <c r="A20" s="347">
        <v>2019</v>
      </c>
      <c r="B20" s="347" t="s">
        <v>659</v>
      </c>
      <c r="C20" s="347" t="s">
        <v>17</v>
      </c>
      <c r="D20" s="343">
        <v>6131100000</v>
      </c>
      <c r="E20" s="343">
        <v>69745.299009180206</v>
      </c>
      <c r="F20" s="343">
        <v>9798831</v>
      </c>
      <c r="G20" s="343">
        <v>2200000</v>
      </c>
      <c r="H20" s="343">
        <v>0</v>
      </c>
      <c r="I20" s="343">
        <v>0</v>
      </c>
      <c r="J20" s="343">
        <v>5430000</v>
      </c>
      <c r="K20" s="343">
        <v>2168831</v>
      </c>
      <c r="L20" s="343">
        <v>0</v>
      </c>
      <c r="M20" s="343">
        <v>1657200000</v>
      </c>
      <c r="N20" s="343">
        <v>3750000000</v>
      </c>
      <c r="O20" s="343">
        <v>1366100000</v>
      </c>
      <c r="P20" s="343">
        <v>87907</v>
      </c>
      <c r="Q20" s="231">
        <f t="shared" si="0"/>
        <v>140.4945012668199</v>
      </c>
    </row>
    <row r="21" spans="1:17" s="231" customFormat="1" x14ac:dyDescent="0.3">
      <c r="A21" s="347">
        <v>2019</v>
      </c>
      <c r="B21" s="347" t="s">
        <v>659</v>
      </c>
      <c r="C21" s="347" t="s">
        <v>18</v>
      </c>
      <c r="D21" s="343">
        <v>9419000000</v>
      </c>
      <c r="E21" s="343">
        <v>57675.939476697597</v>
      </c>
      <c r="F21" s="343">
        <v>7952541</v>
      </c>
      <c r="G21" s="343">
        <v>1138307</v>
      </c>
      <c r="H21" s="343">
        <v>0</v>
      </c>
      <c r="I21" s="343">
        <v>131694</v>
      </c>
      <c r="J21" s="343">
        <v>4482540</v>
      </c>
      <c r="K21" s="343">
        <v>2200000</v>
      </c>
      <c r="L21" s="343">
        <v>0</v>
      </c>
      <c r="M21" s="343">
        <v>2932000000</v>
      </c>
      <c r="N21" s="343">
        <v>7171000000</v>
      </c>
      <c r="O21" s="343">
        <v>4534000000</v>
      </c>
      <c r="P21" s="343">
        <v>163309</v>
      </c>
      <c r="Q21" s="231">
        <f t="shared" si="0"/>
        <v>137.88316362342064</v>
      </c>
    </row>
    <row r="22" spans="1:17" s="231" customFormat="1" x14ac:dyDescent="0.3">
      <c r="A22" s="347">
        <v>2019</v>
      </c>
      <c r="B22" s="347" t="s">
        <v>659</v>
      </c>
      <c r="C22" s="347" t="s">
        <v>47</v>
      </c>
      <c r="D22" s="343">
        <v>6365000000</v>
      </c>
      <c r="E22" s="343">
        <v>50039.308176100603</v>
      </c>
      <c r="F22" s="343">
        <v>3053222</v>
      </c>
      <c r="G22" s="343">
        <v>900000</v>
      </c>
      <c r="H22" s="343">
        <v>0</v>
      </c>
      <c r="I22" s="343">
        <v>8627</v>
      </c>
      <c r="J22" s="343">
        <v>0</v>
      </c>
      <c r="K22" s="343">
        <v>1008259</v>
      </c>
      <c r="L22" s="343">
        <v>1136336</v>
      </c>
      <c r="M22" s="343">
        <v>506000000</v>
      </c>
      <c r="N22" s="343">
        <v>1751000000</v>
      </c>
      <c r="O22" s="343">
        <v>1968000000</v>
      </c>
      <c r="P22" s="343">
        <v>127200</v>
      </c>
      <c r="Q22" s="231">
        <f t="shared" si="0"/>
        <v>61.016471076197988</v>
      </c>
    </row>
    <row r="23" spans="1:17" s="231" customFormat="1" x14ac:dyDescent="0.3">
      <c r="A23" s="347">
        <v>2019</v>
      </c>
      <c r="B23" s="347" t="s">
        <v>659</v>
      </c>
      <c r="C23" s="347" t="s">
        <v>43</v>
      </c>
      <c r="D23" s="343">
        <v>9161000000</v>
      </c>
      <c r="E23" s="343">
        <v>62418.2383080781</v>
      </c>
      <c r="F23" s="343">
        <v>1889383</v>
      </c>
      <c r="G23" s="343">
        <v>950000</v>
      </c>
      <c r="H23" s="343">
        <v>0</v>
      </c>
      <c r="I23" s="343">
        <v>11263</v>
      </c>
      <c r="J23" s="343">
        <v>273000</v>
      </c>
      <c r="K23" s="343">
        <v>655120</v>
      </c>
      <c r="L23" s="343">
        <v>0</v>
      </c>
      <c r="M23" s="343">
        <v>1447000000</v>
      </c>
      <c r="N23" s="343">
        <v>3004000000</v>
      </c>
      <c r="O23" s="343">
        <v>8412000000</v>
      </c>
      <c r="P23" s="343">
        <v>146768</v>
      </c>
      <c r="Q23" s="231">
        <f t="shared" si="0"/>
        <v>30.269726464796399</v>
      </c>
    </row>
    <row r="24" spans="1:17" s="231" customFormat="1" x14ac:dyDescent="0.3">
      <c r="A24" s="347">
        <v>2019</v>
      </c>
      <c r="B24" s="347" t="s">
        <v>659</v>
      </c>
      <c r="C24" s="347" t="s">
        <v>29</v>
      </c>
      <c r="D24" s="343">
        <v>1385000000</v>
      </c>
      <c r="E24" s="343">
        <v>73764.380059650604</v>
      </c>
      <c r="F24" s="343">
        <v>4766477</v>
      </c>
      <c r="G24" s="343">
        <v>1100000</v>
      </c>
      <c r="H24" s="343">
        <v>549996</v>
      </c>
      <c r="I24" s="343">
        <v>139125</v>
      </c>
      <c r="J24" s="343">
        <v>1231546</v>
      </c>
      <c r="K24" s="343">
        <v>1745810</v>
      </c>
      <c r="L24" s="343">
        <v>0</v>
      </c>
      <c r="M24" s="343">
        <v>258000000</v>
      </c>
      <c r="N24" s="343">
        <v>329000000</v>
      </c>
      <c r="O24" s="343">
        <v>2264000000</v>
      </c>
      <c r="P24" s="343">
        <v>18776</v>
      </c>
      <c r="Q24" s="231">
        <f t="shared" si="0"/>
        <v>64.61759722166066</v>
      </c>
    </row>
    <row r="25" spans="1:17" s="231" customFormat="1" x14ac:dyDescent="0.3">
      <c r="A25" s="347">
        <v>2019</v>
      </c>
      <c r="B25" s="347" t="s">
        <v>659</v>
      </c>
      <c r="C25" s="347" t="s">
        <v>664</v>
      </c>
      <c r="D25" s="343">
        <v>6073000000</v>
      </c>
      <c r="E25" s="343">
        <v>72962.095272421502</v>
      </c>
      <c r="F25" s="343">
        <v>3265800</v>
      </c>
      <c r="G25" s="343">
        <v>1000000</v>
      </c>
      <c r="H25" s="343">
        <v>0</v>
      </c>
      <c r="I25" s="343">
        <v>0</v>
      </c>
      <c r="J25" s="343">
        <v>865800</v>
      </c>
      <c r="K25" s="343">
        <v>1400000</v>
      </c>
      <c r="L25" s="343">
        <v>0</v>
      </c>
      <c r="M25" s="343">
        <v>305000000</v>
      </c>
      <c r="N25" s="343">
        <v>841000000</v>
      </c>
      <c r="O25" s="343">
        <v>974000000</v>
      </c>
      <c r="P25" s="343">
        <v>83235</v>
      </c>
      <c r="Q25" s="231">
        <f t="shared" si="0"/>
        <v>44.760227729293568</v>
      </c>
    </row>
    <row r="26" spans="1:17" s="231" customFormat="1" x14ac:dyDescent="0.3">
      <c r="A26" s="347">
        <v>2019</v>
      </c>
      <c r="B26" s="347" t="s">
        <v>659</v>
      </c>
      <c r="C26" s="347" t="s">
        <v>396</v>
      </c>
      <c r="D26" s="343">
        <v>6706000000</v>
      </c>
      <c r="E26" s="343">
        <v>37345.807924706904</v>
      </c>
      <c r="F26" s="343">
        <v>1544602</v>
      </c>
      <c r="G26" s="343">
        <v>840148</v>
      </c>
      <c r="H26" s="343">
        <v>0</v>
      </c>
      <c r="I26" s="343">
        <v>6917</v>
      </c>
      <c r="J26" s="343">
        <v>213110</v>
      </c>
      <c r="K26" s="343">
        <v>484427</v>
      </c>
      <c r="L26" s="343">
        <v>0</v>
      </c>
      <c r="M26" s="343">
        <v>1454000000</v>
      </c>
      <c r="N26" s="343">
        <v>-141000000</v>
      </c>
      <c r="O26" s="343">
        <v>3805000000</v>
      </c>
      <c r="P26" s="343">
        <v>179565</v>
      </c>
      <c r="Q26" s="231">
        <f t="shared" si="0"/>
        <v>41.359447976439043</v>
      </c>
    </row>
    <row r="27" spans="1:17" s="231" customFormat="1" x14ac:dyDescent="0.3">
      <c r="A27" s="347">
        <v>2019</v>
      </c>
      <c r="B27" s="347" t="s">
        <v>659</v>
      </c>
      <c r="C27" s="347" t="s">
        <v>51</v>
      </c>
      <c r="D27" s="343">
        <v>6349000000</v>
      </c>
      <c r="E27" s="343">
        <v>64237.293463114103</v>
      </c>
      <c r="F27" s="343">
        <v>2931204</v>
      </c>
      <c r="G27" s="343">
        <v>800000</v>
      </c>
      <c r="H27" s="343">
        <v>0</v>
      </c>
      <c r="I27" s="343">
        <v>206771</v>
      </c>
      <c r="J27" s="343">
        <v>959989</v>
      </c>
      <c r="K27" s="343">
        <v>964444</v>
      </c>
      <c r="L27" s="343">
        <v>0</v>
      </c>
      <c r="M27" s="343">
        <v>962000000</v>
      </c>
      <c r="N27" s="343">
        <v>2447000000</v>
      </c>
      <c r="O27" s="343">
        <v>1516000000</v>
      </c>
      <c r="P27" s="343">
        <v>95443</v>
      </c>
      <c r="Q27" s="231">
        <f t="shared" si="0"/>
        <v>45.630876426684068</v>
      </c>
    </row>
    <row r="28" spans="1:17" s="231" customFormat="1" x14ac:dyDescent="0.3">
      <c r="A28" s="347">
        <v>2019</v>
      </c>
      <c r="B28" s="347" t="s">
        <v>659</v>
      </c>
      <c r="C28" s="347" t="s">
        <v>16</v>
      </c>
      <c r="D28" s="343">
        <v>8586000000</v>
      </c>
      <c r="E28" s="343">
        <v>50315.571104586801</v>
      </c>
      <c r="F28" s="343">
        <v>4159412</v>
      </c>
      <c r="G28" s="343">
        <v>1200000</v>
      </c>
      <c r="H28" s="343">
        <v>0</v>
      </c>
      <c r="I28" s="343">
        <v>3673</v>
      </c>
      <c r="J28" s="343">
        <v>1803267</v>
      </c>
      <c r="K28" s="343">
        <v>1152472</v>
      </c>
      <c r="L28" s="343">
        <v>0</v>
      </c>
      <c r="M28" s="343">
        <v>631000000</v>
      </c>
      <c r="N28" s="343">
        <v>1406000000</v>
      </c>
      <c r="O28" s="343">
        <v>2139000000</v>
      </c>
      <c r="P28" s="343">
        <v>170643</v>
      </c>
      <c r="Q28" s="231">
        <f t="shared" si="0"/>
        <v>82.666496845562492</v>
      </c>
    </row>
    <row r="29" spans="1:17" s="231" customFormat="1" x14ac:dyDescent="0.3">
      <c r="A29" s="347">
        <v>2019</v>
      </c>
      <c r="B29" s="347" t="s">
        <v>659</v>
      </c>
      <c r="C29" s="347" t="s">
        <v>36</v>
      </c>
      <c r="D29" s="343">
        <v>9139000000</v>
      </c>
      <c r="E29" s="343">
        <v>91017.737453813897</v>
      </c>
      <c r="F29" s="343">
        <v>8866500</v>
      </c>
      <c r="G29" s="343">
        <v>1200000</v>
      </c>
      <c r="H29" s="343">
        <v>2574000</v>
      </c>
      <c r="I29" s="343">
        <v>0</v>
      </c>
      <c r="J29" s="343">
        <v>5092500</v>
      </c>
      <c r="K29" s="343">
        <v>0</v>
      </c>
      <c r="L29" s="343">
        <v>0</v>
      </c>
      <c r="M29" s="343">
        <v>139000000</v>
      </c>
      <c r="N29" s="343">
        <v>2806000000</v>
      </c>
      <c r="O29" s="343">
        <v>7445000000</v>
      </c>
      <c r="P29" s="343">
        <v>100409</v>
      </c>
      <c r="Q29" s="231">
        <f t="shared" si="0"/>
        <v>97.415078071999133</v>
      </c>
    </row>
    <row r="30" spans="1:17" s="231" customFormat="1" x14ac:dyDescent="0.3">
      <c r="A30" s="347">
        <v>2019</v>
      </c>
      <c r="B30" s="347" t="s">
        <v>659</v>
      </c>
      <c r="C30" s="347" t="s">
        <v>20</v>
      </c>
      <c r="D30" s="343">
        <v>7333000000</v>
      </c>
      <c r="E30" s="343">
        <v>54195.274449954501</v>
      </c>
      <c r="F30" s="343">
        <v>6504493</v>
      </c>
      <c r="G30" s="343">
        <v>1000000</v>
      </c>
      <c r="H30" s="343">
        <v>0</v>
      </c>
      <c r="I30" s="343">
        <v>556853</v>
      </c>
      <c r="J30" s="343">
        <v>3230340</v>
      </c>
      <c r="K30" s="343">
        <v>1717300</v>
      </c>
      <c r="L30" s="343">
        <v>0</v>
      </c>
      <c r="M30" s="343">
        <v>690000000</v>
      </c>
      <c r="N30" s="343">
        <v>2413000000</v>
      </c>
      <c r="O30" s="343">
        <v>1248000000</v>
      </c>
      <c r="P30" s="343">
        <v>135307</v>
      </c>
      <c r="Q30" s="231">
        <f t="shared" si="0"/>
        <v>120.01956011877823</v>
      </c>
    </row>
    <row r="31" spans="1:17" s="231" customFormat="1" x14ac:dyDescent="0.3">
      <c r="A31" s="347">
        <v>2019</v>
      </c>
      <c r="B31" s="347" t="s">
        <v>659</v>
      </c>
      <c r="C31" s="347" t="s">
        <v>668</v>
      </c>
      <c r="D31" s="343">
        <v>9955000000</v>
      </c>
      <c r="E31" s="343">
        <v>76821.570231352205</v>
      </c>
      <c r="F31" s="343">
        <v>3542299</v>
      </c>
      <c r="G31" s="343">
        <v>1300000</v>
      </c>
      <c r="H31" s="343">
        <v>0</v>
      </c>
      <c r="I31" s="343">
        <v>5147</v>
      </c>
      <c r="J31" s="343">
        <v>850000</v>
      </c>
      <c r="K31" s="343">
        <v>1387152</v>
      </c>
      <c r="L31" s="343">
        <v>0</v>
      </c>
      <c r="M31" s="343"/>
      <c r="N31" s="343">
        <v>3248000000</v>
      </c>
      <c r="O31" s="343"/>
      <c r="P31" s="343">
        <v>129586</v>
      </c>
      <c r="Q31" s="231">
        <f t="shared" si="0"/>
        <v>46.110734124962299</v>
      </c>
    </row>
    <row r="32" spans="1:17" s="231" customFormat="1" x14ac:dyDescent="0.3">
      <c r="A32" s="347">
        <v>2019</v>
      </c>
      <c r="B32" s="347" t="s">
        <v>659</v>
      </c>
      <c r="C32" s="347" t="s">
        <v>6</v>
      </c>
      <c r="D32" s="343">
        <v>6700000000</v>
      </c>
      <c r="E32" s="343">
        <v>58245.675041293602</v>
      </c>
      <c r="F32" s="343"/>
      <c r="G32" s="343"/>
      <c r="H32" s="343"/>
      <c r="I32" s="343"/>
      <c r="J32" s="343"/>
      <c r="K32" s="343"/>
      <c r="L32" s="343"/>
      <c r="M32" s="343">
        <v>1367000000</v>
      </c>
      <c r="N32" s="343">
        <v>6622000000</v>
      </c>
      <c r="O32" s="343">
        <v>6790000000</v>
      </c>
      <c r="P32" s="343">
        <v>115030</v>
      </c>
    </row>
    <row r="33" spans="1:17" s="231" customFormat="1" x14ac:dyDescent="0.3">
      <c r="A33" s="347">
        <v>2019</v>
      </c>
      <c r="B33" s="347" t="s">
        <v>659</v>
      </c>
      <c r="C33" s="347" t="s">
        <v>22</v>
      </c>
      <c r="D33" s="343">
        <v>2641417844</v>
      </c>
      <c r="E33" s="343">
        <v>64912.460532782803</v>
      </c>
      <c r="F33" s="343">
        <v>4112263</v>
      </c>
      <c r="G33" s="343">
        <v>798152</v>
      </c>
      <c r="H33" s="343">
        <v>0</v>
      </c>
      <c r="I33" s="343">
        <v>1029436</v>
      </c>
      <c r="J33" s="343">
        <v>1144681</v>
      </c>
      <c r="K33" s="343">
        <v>1139994</v>
      </c>
      <c r="L33" s="343">
        <v>0</v>
      </c>
      <c r="M33" s="343">
        <v>108979701</v>
      </c>
      <c r="N33" s="343">
        <v>345697905</v>
      </c>
      <c r="O33" s="343">
        <v>1223788450</v>
      </c>
      <c r="P33" s="343">
        <v>40692</v>
      </c>
      <c r="Q33" s="231">
        <f t="shared" si="0"/>
        <v>63.350903143213621</v>
      </c>
    </row>
    <row r="34" spans="1:17" s="231" customFormat="1" x14ac:dyDescent="0.3">
      <c r="A34" s="347">
        <v>2019</v>
      </c>
      <c r="B34" s="347" t="s">
        <v>659</v>
      </c>
      <c r="C34" s="347" t="s">
        <v>3</v>
      </c>
      <c r="D34" s="343">
        <v>3514000000</v>
      </c>
      <c r="E34" s="343">
        <v>10614.2298340205</v>
      </c>
      <c r="F34" s="343">
        <v>13226736</v>
      </c>
      <c r="G34" s="343">
        <v>2343750</v>
      </c>
      <c r="H34" s="343">
        <v>0</v>
      </c>
      <c r="I34" s="343">
        <v>55673</v>
      </c>
      <c r="J34" s="343">
        <v>8483563</v>
      </c>
      <c r="K34" s="343">
        <v>2343750</v>
      </c>
      <c r="L34" s="343">
        <v>0</v>
      </c>
      <c r="M34" s="343">
        <v>131000000</v>
      </c>
      <c r="N34" s="343">
        <v>400000000</v>
      </c>
      <c r="O34" s="343">
        <v>485000000</v>
      </c>
      <c r="P34" s="343">
        <v>331065</v>
      </c>
      <c r="Q34" s="231">
        <f t="shared" si="0"/>
        <v>1246.1324285258975</v>
      </c>
    </row>
    <row r="35" spans="1:17" s="231" customFormat="1" x14ac:dyDescent="0.3">
      <c r="A35" s="347">
        <v>2019</v>
      </c>
      <c r="B35" s="347" t="s">
        <v>659</v>
      </c>
      <c r="C35" s="347" t="s">
        <v>584</v>
      </c>
      <c r="D35" s="343">
        <v>7388500000</v>
      </c>
      <c r="E35" s="343">
        <v>89443.738272501694</v>
      </c>
      <c r="F35" s="343">
        <v>2430506</v>
      </c>
      <c r="G35" s="343">
        <v>800000</v>
      </c>
      <c r="H35" s="343">
        <v>0</v>
      </c>
      <c r="I35" s="343">
        <v>41052</v>
      </c>
      <c r="J35" s="343">
        <v>740160</v>
      </c>
      <c r="K35" s="343">
        <v>849294</v>
      </c>
      <c r="L35" s="343">
        <v>0</v>
      </c>
      <c r="M35" s="343">
        <v>301000000</v>
      </c>
      <c r="N35" s="343">
        <v>1121900000</v>
      </c>
      <c r="O35" s="343">
        <v>1112500000</v>
      </c>
      <c r="P35" s="343">
        <v>82605</v>
      </c>
      <c r="Q35" s="231">
        <f t="shared" si="0"/>
        <v>27.173573544021107</v>
      </c>
    </row>
    <row r="36" spans="1:17" s="231" customFormat="1" x14ac:dyDescent="0.3">
      <c r="A36" s="347">
        <v>2019</v>
      </c>
      <c r="B36" s="347" t="s">
        <v>659</v>
      </c>
      <c r="C36" s="347" t="s">
        <v>35</v>
      </c>
      <c r="D36" s="343">
        <v>7969810620</v>
      </c>
      <c r="E36" s="346">
        <v>73946</v>
      </c>
      <c r="F36" s="343">
        <v>6156261</v>
      </c>
      <c r="G36" s="343">
        <v>1400000</v>
      </c>
      <c r="H36" s="343">
        <v>0</v>
      </c>
      <c r="I36" s="343">
        <v>67625</v>
      </c>
      <c r="J36" s="343">
        <v>2310336</v>
      </c>
      <c r="K36" s="343">
        <v>2378300</v>
      </c>
      <c r="L36" s="343">
        <v>0</v>
      </c>
      <c r="M36" s="343">
        <v>5245318086</v>
      </c>
      <c r="N36" s="343">
        <v>10064543405</v>
      </c>
      <c r="O36" s="343">
        <v>14699753818</v>
      </c>
      <c r="P36" s="343">
        <v>107776</v>
      </c>
      <c r="Q36" s="231">
        <f t="shared" si="0"/>
        <v>83.253468747464368</v>
      </c>
    </row>
    <row r="37" spans="1:17" s="231" customFormat="1" x14ac:dyDescent="0.3">
      <c r="A37" s="347">
        <v>2019</v>
      </c>
      <c r="B37" s="347" t="s">
        <v>659</v>
      </c>
      <c r="C37" s="347" t="s">
        <v>57</v>
      </c>
      <c r="D37" s="343"/>
      <c r="E37" s="343"/>
      <c r="F37" s="343">
        <v>4588336</v>
      </c>
      <c r="G37" s="343">
        <v>1250000</v>
      </c>
      <c r="H37" s="343">
        <v>144894</v>
      </c>
      <c r="I37" s="343">
        <v>483951</v>
      </c>
      <c r="J37" s="343">
        <v>730103</v>
      </c>
      <c r="K37" s="343">
        <v>1979388</v>
      </c>
      <c r="L37" s="343">
        <v>0</v>
      </c>
      <c r="M37" s="343">
        <v>-1065400000</v>
      </c>
      <c r="N37" s="343">
        <v>1103300000</v>
      </c>
      <c r="O37" s="343">
        <v>226300000</v>
      </c>
      <c r="P37" s="343">
        <v>3626</v>
      </c>
    </row>
    <row r="38" spans="1:17" s="231" customFormat="1" x14ac:dyDescent="0.3">
      <c r="A38" s="347">
        <v>2019</v>
      </c>
      <c r="B38" s="347" t="s">
        <v>659</v>
      </c>
      <c r="C38" s="347" t="s">
        <v>665</v>
      </c>
      <c r="D38" s="343">
        <v>7667900000</v>
      </c>
      <c r="E38" s="343">
        <f>Tableau48[[#This Row],[Personnel Expenses (RO)]]/Tableau48[[#This Row],[Number Of Employees (RO)]]</f>
        <v>43073.00824060083</v>
      </c>
      <c r="F38" s="343">
        <v>3001105</v>
      </c>
      <c r="G38" s="343">
        <v>980000</v>
      </c>
      <c r="H38" s="343">
        <v>0</v>
      </c>
      <c r="I38" s="343">
        <v>1676</v>
      </c>
      <c r="J38" s="343">
        <v>812745</v>
      </c>
      <c r="K38" s="343">
        <v>1206684</v>
      </c>
      <c r="L38" s="343">
        <v>0</v>
      </c>
      <c r="M38" s="343">
        <v>298500000</v>
      </c>
      <c r="N38" s="343">
        <v>624900000</v>
      </c>
      <c r="O38" s="343">
        <v>2087000000</v>
      </c>
      <c r="P38" s="343">
        <v>178021</v>
      </c>
      <c r="Q38" s="231">
        <f t="shared" si="0"/>
        <v>69.674840987102073</v>
      </c>
    </row>
    <row r="39" spans="1:17" s="231" customFormat="1" x14ac:dyDescent="0.3">
      <c r="A39" s="347">
        <v>2019</v>
      </c>
      <c r="B39" s="347" t="s">
        <v>659</v>
      </c>
      <c r="C39" s="347" t="s">
        <v>40</v>
      </c>
      <c r="D39" s="343">
        <v>13249000000</v>
      </c>
      <c r="E39" s="343">
        <v>59573.645327949598</v>
      </c>
      <c r="F39" s="343">
        <v>5384847</v>
      </c>
      <c r="G39" s="343">
        <v>1200000</v>
      </c>
      <c r="H39" s="343">
        <v>0</v>
      </c>
      <c r="I39" s="343">
        <v>17814</v>
      </c>
      <c r="J39" s="343">
        <v>2394880</v>
      </c>
      <c r="K39" s="343">
        <v>1772153</v>
      </c>
      <c r="L39" s="343">
        <v>0</v>
      </c>
      <c r="M39" s="343">
        <v>1634000000</v>
      </c>
      <c r="N39" s="343">
        <v>3260000000</v>
      </c>
      <c r="O39" s="343">
        <v>3085000000</v>
      </c>
      <c r="P39" s="343">
        <v>222397</v>
      </c>
      <c r="Q39" s="231">
        <f t="shared" si="0"/>
        <v>90.389751547965844</v>
      </c>
    </row>
    <row r="40" spans="1:17" s="231" customFormat="1" x14ac:dyDescent="0.3">
      <c r="A40" s="347">
        <v>2019</v>
      </c>
      <c r="B40" s="347" t="s">
        <v>659</v>
      </c>
      <c r="C40" s="347" t="s">
        <v>53</v>
      </c>
      <c r="D40" s="343">
        <v>3524000000</v>
      </c>
      <c r="E40" s="343">
        <v>78940.883940771906</v>
      </c>
      <c r="F40" s="343">
        <v>3460172</v>
      </c>
      <c r="G40" s="343">
        <v>1400000</v>
      </c>
      <c r="H40" s="343">
        <v>0</v>
      </c>
      <c r="I40" s="343">
        <v>25372</v>
      </c>
      <c r="J40" s="343">
        <v>774800</v>
      </c>
      <c r="K40" s="343">
        <v>1260000</v>
      </c>
      <c r="L40" s="343">
        <v>0</v>
      </c>
      <c r="M40" s="343">
        <v>-140000000</v>
      </c>
      <c r="N40" s="343">
        <v>1583000000</v>
      </c>
      <c r="O40" s="343">
        <v>744000000</v>
      </c>
      <c r="P40" s="343">
        <v>44641</v>
      </c>
      <c r="Q40" s="231">
        <f t="shared" si="0"/>
        <v>43.832445587968238</v>
      </c>
    </row>
    <row r="41" spans="1:17" s="231" customFormat="1" x14ac:dyDescent="0.3">
      <c r="A41" s="347">
        <v>2019</v>
      </c>
      <c r="B41" s="347" t="s">
        <v>659</v>
      </c>
      <c r="C41" s="347" t="s">
        <v>666</v>
      </c>
      <c r="D41" s="343">
        <v>874100000</v>
      </c>
      <c r="E41" s="343">
        <v>73596.025932474498</v>
      </c>
      <c r="F41" s="343">
        <v>2610118</v>
      </c>
      <c r="G41" s="343">
        <v>605740</v>
      </c>
      <c r="H41" s="343">
        <v>208688</v>
      </c>
      <c r="I41" s="343">
        <v>12183</v>
      </c>
      <c r="J41" s="343">
        <v>1072050</v>
      </c>
      <c r="K41" s="343">
        <v>711457</v>
      </c>
      <c r="L41" s="343">
        <v>0</v>
      </c>
      <c r="M41" s="343">
        <v>75000000</v>
      </c>
      <c r="N41" s="343">
        <v>311200000</v>
      </c>
      <c r="O41" s="343">
        <v>218700000</v>
      </c>
      <c r="P41" s="343">
        <v>11877</v>
      </c>
      <c r="Q41" s="231">
        <f t="shared" si="0"/>
        <v>35.465474758036855</v>
      </c>
    </row>
    <row r="42" spans="1:17" s="331" customFormat="1" ht="21" x14ac:dyDescent="0.4">
      <c r="A42" s="348">
        <v>2019</v>
      </c>
      <c r="B42" s="348" t="s">
        <v>638</v>
      </c>
      <c r="C42" s="348" t="s">
        <v>669</v>
      </c>
      <c r="D42" s="331">
        <f t="shared" ref="D42:Q42" si="1">AVERAGE((D2:D41))</f>
        <v>6619108119.3846149</v>
      </c>
      <c r="E42" s="331">
        <f t="shared" si="1"/>
        <v>64744.350283032232</v>
      </c>
      <c r="F42" s="331">
        <f t="shared" si="1"/>
        <v>5230179.948717949</v>
      </c>
      <c r="G42" s="331">
        <f t="shared" si="1"/>
        <v>1191243.282051282</v>
      </c>
      <c r="H42" s="331">
        <f t="shared" si="1"/>
        <v>91826.105263157893</v>
      </c>
      <c r="I42" s="331">
        <f t="shared" si="1"/>
        <v>329815.69230769231</v>
      </c>
      <c r="J42" s="331">
        <f t="shared" si="1"/>
        <v>2245959.6153846155</v>
      </c>
      <c r="K42" s="331">
        <f t="shared" si="1"/>
        <v>1328708.6666666667</v>
      </c>
      <c r="L42" s="331">
        <f t="shared" si="1"/>
        <v>44981.102564102563</v>
      </c>
      <c r="M42" s="331">
        <f t="shared" si="1"/>
        <v>816222543.94444442</v>
      </c>
      <c r="N42" s="331">
        <f t="shared" si="1"/>
        <v>2032593369.6153846</v>
      </c>
      <c r="O42" s="331">
        <f t="shared" si="1"/>
        <v>2611890661.5</v>
      </c>
      <c r="P42" s="331">
        <f t="shared" si="1"/>
        <v>113534.075</v>
      </c>
      <c r="Q42" s="331">
        <f t="shared" si="1"/>
        <v>111.53535396012215</v>
      </c>
    </row>
    <row r="43" spans="1:17" s="331" customFormat="1" ht="21" x14ac:dyDescent="0.4">
      <c r="A43" s="348">
        <v>2019</v>
      </c>
      <c r="B43" s="348" t="s">
        <v>638</v>
      </c>
      <c r="C43" s="348" t="s">
        <v>670</v>
      </c>
      <c r="D43" s="331">
        <f t="shared" ref="D43:P43" si="2">SUM(D2:D41)</f>
        <v>258145216656</v>
      </c>
      <c r="E43" s="331">
        <f t="shared" si="2"/>
        <v>2525029.6610382572</v>
      </c>
      <c r="F43" s="331">
        <f t="shared" si="2"/>
        <v>203977018</v>
      </c>
      <c r="G43" s="331">
        <f t="shared" si="2"/>
        <v>46458488</v>
      </c>
      <c r="H43" s="331">
        <f t="shared" si="2"/>
        <v>3489392</v>
      </c>
      <c r="I43" s="331">
        <f t="shared" si="2"/>
        <v>12862812</v>
      </c>
      <c r="J43" s="331">
        <f t="shared" si="2"/>
        <v>87592425</v>
      </c>
      <c r="K43" s="331">
        <f t="shared" si="2"/>
        <v>51819638</v>
      </c>
      <c r="L43" s="331">
        <f t="shared" si="2"/>
        <v>1754263</v>
      </c>
      <c r="M43" s="331">
        <f t="shared" si="2"/>
        <v>29384011582</v>
      </c>
      <c r="N43" s="331">
        <f t="shared" si="2"/>
        <v>79271141415</v>
      </c>
      <c r="O43" s="331">
        <f t="shared" si="2"/>
        <v>94028063814</v>
      </c>
      <c r="P43" s="331">
        <f t="shared" si="2"/>
        <v>4541363</v>
      </c>
    </row>
    <row r="47" spans="1:17" x14ac:dyDescent="0.3">
      <c r="E47">
        <f>(70505-64744)/64744</f>
        <v>8.8981218336834297E-2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zoomScale="76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2.88671875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318</v>
      </c>
      <c r="B2" s="52" t="s">
        <v>48</v>
      </c>
      <c r="C2" s="53" t="s">
        <v>319</v>
      </c>
      <c r="D2" s="54">
        <f>SUM(Table_3545678101114[[#This Row],[Fixe]:[Retraite ]])</f>
        <v>6023640</v>
      </c>
      <c r="E2" s="55">
        <v>1500000</v>
      </c>
      <c r="F2" s="55">
        <v>2067000</v>
      </c>
      <c r="G2" s="56">
        <v>1389454</v>
      </c>
      <c r="H2" s="55">
        <v>909700</v>
      </c>
      <c r="I2" s="55">
        <f>46959+18177+60500</f>
        <v>125636</v>
      </c>
      <c r="J2" s="55">
        <v>31850</v>
      </c>
      <c r="K2" s="58">
        <f>((J11*J7)*F2+(J24*J20)*G2+(J33*J29)*H2)/((J7*F2)+(J20*G2)+(J29*H2))</f>
        <v>0.45631708269465487</v>
      </c>
      <c r="L2" s="59">
        <f>1-K2</f>
        <v>0.54368291730534513</v>
      </c>
      <c r="M2" s="59">
        <f>(J7*F2+J20*G2+J29*H2)
/(F2+G2+H2)</f>
        <v>0.66714586414801991</v>
      </c>
      <c r="N2" s="60">
        <f>(J7*F2+J20*G2+J29*H2)/D2</f>
        <v>0.48357165822216025</v>
      </c>
      <c r="O2" s="61">
        <f>(F2*J10+G2*J23+H2*J32)/D2</f>
        <v>0.10411968510734373</v>
      </c>
      <c r="P2" s="62">
        <f>(J8*F2+J21*G2+J30*H2)/D2</f>
        <v>0.24984351931168974</v>
      </c>
      <c r="Q2" s="62">
        <f>(J9*F2+J22*G2+J31*H2)/D2</f>
        <v>0</v>
      </c>
      <c r="R2" s="186">
        <f>(J13*F2+J26*G2+J35*H2)/(F2+G2+H2)</f>
        <v>0.10747387746744617</v>
      </c>
      <c r="S2" s="186">
        <f>(J13*F2+J26*G2+J35*H2)/D2</f>
        <v>7.7900986778758355E-2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242</v>
      </c>
      <c r="C7" s="19">
        <v>0.125</v>
      </c>
      <c r="D7" s="11" t="s">
        <v>191</v>
      </c>
      <c r="E7" s="11" t="s">
        <v>103</v>
      </c>
      <c r="F7" s="11"/>
      <c r="G7" s="13"/>
      <c r="H7" s="8"/>
      <c r="I7" s="187" t="s">
        <v>211</v>
      </c>
      <c r="J7" s="45">
        <f>SUMIF(E7:E17,"F",C7:C17)</f>
        <v>0.625</v>
      </c>
      <c r="K7" s="165"/>
      <c r="L7" s="73" t="s">
        <v>470</v>
      </c>
      <c r="M7" s="99" t="s">
        <v>698</v>
      </c>
      <c r="N7" s="188"/>
      <c r="O7" s="63"/>
    </row>
    <row r="8" spans="1:24" ht="15" thickBot="1" x14ac:dyDescent="0.35">
      <c r="A8" s="8" t="s">
        <v>192</v>
      </c>
      <c r="B8" s="19" t="s">
        <v>320</v>
      </c>
      <c r="C8" s="19">
        <v>0.2</v>
      </c>
      <c r="D8" s="11" t="s">
        <v>191</v>
      </c>
      <c r="E8" s="11" t="s">
        <v>103</v>
      </c>
      <c r="F8" s="14" t="s">
        <v>225</v>
      </c>
      <c r="G8" s="13"/>
      <c r="H8" s="8"/>
      <c r="I8" s="187" t="s">
        <v>212</v>
      </c>
      <c r="J8" s="45">
        <f>SUMIF(E7:E17,"NF",C7:C17)</f>
        <v>0.4</v>
      </c>
      <c r="K8" s="165"/>
      <c r="O8" s="63"/>
    </row>
    <row r="9" spans="1:24" ht="15" thickBot="1" x14ac:dyDescent="0.35">
      <c r="A9" s="8" t="s">
        <v>194</v>
      </c>
      <c r="B9" s="19" t="s">
        <v>321</v>
      </c>
      <c r="C9" s="19">
        <v>0.15</v>
      </c>
      <c r="D9" s="11" t="s">
        <v>191</v>
      </c>
      <c r="E9" s="11" t="s">
        <v>103</v>
      </c>
      <c r="F9" s="11"/>
      <c r="G9" s="16"/>
      <c r="H9" s="8"/>
      <c r="I9" s="187" t="s">
        <v>213</v>
      </c>
      <c r="J9" s="45">
        <f>SUMIFS(C7:C17,E7:E17,"NF",G7:G17,"OUI")</f>
        <v>0</v>
      </c>
      <c r="K9" s="165"/>
      <c r="L9" s="165"/>
      <c r="M9" s="165"/>
      <c r="O9" s="63"/>
    </row>
    <row r="10" spans="1:24" ht="15" thickBot="1" x14ac:dyDescent="0.35">
      <c r="A10" s="8" t="s">
        <v>198</v>
      </c>
      <c r="B10" s="19" t="s">
        <v>322</v>
      </c>
      <c r="C10" s="19">
        <v>0.15</v>
      </c>
      <c r="D10" s="11" t="s">
        <v>196</v>
      </c>
      <c r="E10" s="11" t="s">
        <v>103</v>
      </c>
      <c r="F10" s="11"/>
      <c r="G10" s="16"/>
      <c r="H10" s="8"/>
      <c r="I10" s="187" t="s">
        <v>214</v>
      </c>
      <c r="J10" s="45">
        <f>SUMIFS(C7:C17,E7:E17,"F",F7:F17,"oui")</f>
        <v>0.2</v>
      </c>
      <c r="K10" s="165"/>
      <c r="L10" s="165"/>
      <c r="M10" s="165"/>
      <c r="O10" s="63"/>
    </row>
    <row r="11" spans="1:24" ht="15" thickBot="1" x14ac:dyDescent="0.35">
      <c r="A11" s="8" t="s">
        <v>200</v>
      </c>
      <c r="B11" s="19" t="s">
        <v>323</v>
      </c>
      <c r="C11" s="19">
        <v>0.1</v>
      </c>
      <c r="D11" s="11"/>
      <c r="E11" s="11" t="s">
        <v>197</v>
      </c>
      <c r="F11" s="11"/>
      <c r="G11" s="16"/>
      <c r="H11" s="20"/>
      <c r="I11" s="187" t="s">
        <v>239</v>
      </c>
      <c r="J11" s="45">
        <f>SUMIFS(C7:C17,D7:D17,"CT",E7:E17,"F")/J7</f>
        <v>0.76</v>
      </c>
      <c r="K11" s="189"/>
      <c r="L11" s="189"/>
      <c r="M11" s="189"/>
      <c r="O11" s="63"/>
    </row>
    <row r="12" spans="1:24" ht="15" thickBot="1" x14ac:dyDescent="0.35">
      <c r="A12" s="8" t="s">
        <v>202</v>
      </c>
      <c r="B12" s="19" t="s">
        <v>284</v>
      </c>
      <c r="C12" s="19">
        <v>0.15</v>
      </c>
      <c r="D12" s="19"/>
      <c r="E12" s="19" t="s">
        <v>197</v>
      </c>
      <c r="F12" s="19"/>
      <c r="G12" s="20"/>
      <c r="H12" s="20" t="s">
        <v>225</v>
      </c>
      <c r="I12" s="187" t="s">
        <v>237</v>
      </c>
      <c r="J12" s="45">
        <f>1-J11</f>
        <v>0.24</v>
      </c>
      <c r="K12" s="63"/>
      <c r="L12" s="63"/>
      <c r="M12" s="63"/>
      <c r="O12" s="63"/>
    </row>
    <row r="13" spans="1:24" ht="15" thickBot="1" x14ac:dyDescent="0.35">
      <c r="A13" s="8" t="s">
        <v>203</v>
      </c>
      <c r="B13" s="19" t="s">
        <v>324</v>
      </c>
      <c r="C13" s="19">
        <v>0.15</v>
      </c>
      <c r="D13" s="19"/>
      <c r="E13" s="19" t="s">
        <v>197</v>
      </c>
      <c r="F13" s="19"/>
      <c r="G13" s="20"/>
      <c r="H13" s="20"/>
      <c r="I13" s="187" t="s">
        <v>687</v>
      </c>
      <c r="J13" s="45">
        <f>SUMIFS(C7:C17,E7:E17,"NF",H7:H17,"OUI")</f>
        <v>0.15</v>
      </c>
      <c r="K13" s="63"/>
      <c r="L13" s="63"/>
      <c r="M13" s="63"/>
      <c r="O13" s="63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63"/>
      <c r="J14" s="63"/>
      <c r="K14" s="63"/>
      <c r="L14" s="63"/>
      <c r="M14" s="63"/>
      <c r="O14" s="63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63"/>
      <c r="J15" s="63"/>
      <c r="K15" s="63"/>
      <c r="L15" s="63"/>
      <c r="M15" s="63"/>
      <c r="O15" s="63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63"/>
      <c r="J16" s="63"/>
      <c r="K16" s="63"/>
      <c r="L16" s="63"/>
      <c r="M16" s="63"/>
      <c r="O16" s="63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63"/>
      <c r="J17" s="63"/>
      <c r="K17" s="63"/>
      <c r="L17" s="63"/>
      <c r="M17" s="63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696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 t="s">
        <v>432</v>
      </c>
      <c r="C20" s="78">
        <f>35000/120000</f>
        <v>0.29166666666666669</v>
      </c>
      <c r="D20" s="33" t="s">
        <v>191</v>
      </c>
      <c r="E20" s="33" t="s">
        <v>197</v>
      </c>
      <c r="F20" s="34"/>
      <c r="G20" s="35"/>
      <c r="H20" s="8"/>
      <c r="I20" s="44" t="s">
        <v>211</v>
      </c>
      <c r="J20" s="45">
        <f>SUMIF(E20:E23,"F",C20:C23)</f>
        <v>0.70833333333333337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 t="s">
        <v>433</v>
      </c>
      <c r="C21" s="78">
        <f>30000/120000</f>
        <v>0.25</v>
      </c>
      <c r="D21" s="33" t="s">
        <v>191</v>
      </c>
      <c r="E21" s="33" t="s">
        <v>103</v>
      </c>
      <c r="F21" s="33"/>
      <c r="G21" s="16"/>
      <c r="H21" s="8"/>
      <c r="I21" s="44" t="s">
        <v>212</v>
      </c>
      <c r="J21" s="45">
        <f>SUMIF(E20:E23,"NF",C20:C23)</f>
        <v>0.29166666666666669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 t="s">
        <v>434</v>
      </c>
      <c r="C22" s="78">
        <f>30000/120000</f>
        <v>0.25</v>
      </c>
      <c r="D22" s="33" t="s">
        <v>237</v>
      </c>
      <c r="E22" s="33" t="s">
        <v>103</v>
      </c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38" t="s">
        <v>435</v>
      </c>
      <c r="C23" s="67">
        <f>25000/120000</f>
        <v>0.20833333333333334</v>
      </c>
      <c r="D23" s="38" t="s">
        <v>237</v>
      </c>
      <c r="E23" s="38" t="s">
        <v>103</v>
      </c>
      <c r="F23" s="38"/>
      <c r="G23" s="39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65"/>
      <c r="B24" s="65"/>
      <c r="C24" s="65"/>
      <c r="D24" s="65"/>
      <c r="E24" s="65"/>
      <c r="F24" s="65"/>
      <c r="G24" s="65"/>
      <c r="H24" s="65"/>
      <c r="I24" s="44" t="s">
        <v>239</v>
      </c>
      <c r="J24" s="70">
        <f>SUMIFS(C20:C23,D20:D23,"CT",E20:E23,"F")/J20</f>
        <v>0.3529411764705882</v>
      </c>
      <c r="K24" s="69"/>
      <c r="L24" s="46"/>
      <c r="M24" s="46"/>
      <c r="N24" s="30"/>
      <c r="O24" s="30"/>
      <c r="P24" s="30"/>
      <c r="Q24" s="30"/>
    </row>
    <row r="25" spans="1:17" ht="15" thickBot="1" x14ac:dyDescent="0.35">
      <c r="A25" s="65"/>
      <c r="B25" s="65"/>
      <c r="C25" s="65"/>
      <c r="D25" s="65"/>
      <c r="E25" s="65"/>
      <c r="F25" s="65"/>
      <c r="G25" s="65"/>
      <c r="H25" s="65"/>
      <c r="I25" s="44" t="s">
        <v>240</v>
      </c>
      <c r="J25" s="45">
        <f>1-J24</f>
        <v>0.6470588235294118</v>
      </c>
      <c r="K25" s="66"/>
      <c r="L25" s="66"/>
      <c r="M25" s="66"/>
      <c r="N25" s="64"/>
      <c r="O25" s="64"/>
      <c r="P25" s="64"/>
      <c r="Q25" s="64"/>
    </row>
    <row r="26" spans="1:17" ht="15" thickBot="1" x14ac:dyDescent="0.35">
      <c r="I26" s="187" t="s">
        <v>224</v>
      </c>
      <c r="J26" s="45">
        <f>SUMIFS(C20:C26,E20:E26,"NF",H20:H26,"OUI")</f>
        <v>0</v>
      </c>
      <c r="L26" s="1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168" t="s">
        <v>697</v>
      </c>
      <c r="B28" s="169" t="s">
        <v>183</v>
      </c>
      <c r="C28" s="170" t="s">
        <v>184</v>
      </c>
      <c r="D28" s="171" t="s">
        <v>208</v>
      </c>
      <c r="E28" s="171" t="s">
        <v>186</v>
      </c>
      <c r="F28" s="171" t="s">
        <v>187</v>
      </c>
      <c r="G28" s="172" t="s">
        <v>188</v>
      </c>
      <c r="H28" s="168" t="s">
        <v>685</v>
      </c>
      <c r="I28" s="173"/>
      <c r="J28" s="173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174" t="s">
        <v>189</v>
      </c>
      <c r="B29" s="175" t="s">
        <v>695</v>
      </c>
      <c r="C29" s="176">
        <v>0.46500000000000002</v>
      </c>
      <c r="D29" s="177" t="s">
        <v>237</v>
      </c>
      <c r="E29" s="177" t="s">
        <v>103</v>
      </c>
      <c r="F29" s="177"/>
      <c r="G29" s="178"/>
      <c r="H29" s="174"/>
      <c r="I29" s="173" t="s">
        <v>211</v>
      </c>
      <c r="J29" s="179">
        <v>0.7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174" t="s">
        <v>192</v>
      </c>
      <c r="B30" s="175" t="s">
        <v>408</v>
      </c>
      <c r="C30" s="176">
        <v>0.23499999999999999</v>
      </c>
      <c r="D30" s="177" t="s">
        <v>237</v>
      </c>
      <c r="E30" s="177" t="s">
        <v>103</v>
      </c>
      <c r="F30" s="177" t="s">
        <v>225</v>
      </c>
      <c r="G30" s="180"/>
      <c r="H30" s="174"/>
      <c r="I30" s="173" t="s">
        <v>212</v>
      </c>
      <c r="J30" s="179">
        <v>0.3</v>
      </c>
      <c r="K30" s="65"/>
      <c r="L30" s="65"/>
      <c r="M30" s="65"/>
    </row>
    <row r="31" spans="1:17" ht="15" thickBot="1" x14ac:dyDescent="0.35">
      <c r="A31" s="174" t="s">
        <v>194</v>
      </c>
      <c r="B31" s="175" t="s">
        <v>224</v>
      </c>
      <c r="C31" s="176">
        <v>0.17499999999999999</v>
      </c>
      <c r="D31" s="177" t="s">
        <v>237</v>
      </c>
      <c r="E31" s="177" t="s">
        <v>197</v>
      </c>
      <c r="F31" s="177"/>
      <c r="G31" s="178"/>
      <c r="H31" s="174" t="s">
        <v>225</v>
      </c>
      <c r="I31" s="173" t="s">
        <v>213</v>
      </c>
      <c r="J31" s="179">
        <v>0</v>
      </c>
      <c r="K31" s="65"/>
      <c r="L31" s="65"/>
      <c r="M31" s="65"/>
    </row>
    <row r="32" spans="1:17" ht="15" thickBot="1" x14ac:dyDescent="0.35">
      <c r="A32" s="167" t="s">
        <v>198</v>
      </c>
      <c r="B32" s="181" t="s">
        <v>508</v>
      </c>
      <c r="C32" s="182">
        <v>0.125</v>
      </c>
      <c r="D32" s="181" t="s">
        <v>237</v>
      </c>
      <c r="E32" s="181" t="s">
        <v>197</v>
      </c>
      <c r="F32" s="181"/>
      <c r="G32" s="183"/>
      <c r="H32" s="174"/>
      <c r="I32" s="173" t="s">
        <v>214</v>
      </c>
      <c r="J32" s="45">
        <f>SUMIFS(C29:C32,E29:E32,"F",F29:F32,"oui")</f>
        <v>0.23499999999999999</v>
      </c>
      <c r="K32" s="65"/>
      <c r="L32" s="65"/>
      <c r="M32" s="65"/>
    </row>
    <row r="33" spans="1:13" ht="15" thickBot="1" x14ac:dyDescent="0.35">
      <c r="A33" s="166"/>
      <c r="B33" s="166"/>
      <c r="C33" s="166"/>
      <c r="D33" s="166"/>
      <c r="E33" s="166"/>
      <c r="F33" s="166"/>
      <c r="G33" s="166"/>
      <c r="H33" s="167"/>
      <c r="I33" s="173" t="s">
        <v>239</v>
      </c>
      <c r="J33" s="184">
        <v>0</v>
      </c>
      <c r="K33" s="65"/>
      <c r="L33" s="65"/>
      <c r="M33" s="65"/>
    </row>
    <row r="34" spans="1:13" ht="15" thickBot="1" x14ac:dyDescent="0.35">
      <c r="A34" s="166"/>
      <c r="B34" s="166"/>
      <c r="C34" s="166"/>
      <c r="D34" s="166"/>
      <c r="E34" s="166"/>
      <c r="F34" s="166"/>
      <c r="G34" s="166"/>
      <c r="H34" s="168"/>
      <c r="I34" s="173" t="s">
        <v>240</v>
      </c>
      <c r="J34" s="179">
        <v>1</v>
      </c>
    </row>
    <row r="35" spans="1:13" ht="15" thickBot="1" x14ac:dyDescent="0.35">
      <c r="A35" s="166"/>
      <c r="B35" s="166"/>
      <c r="C35" s="166"/>
      <c r="D35" s="166"/>
      <c r="E35" s="166"/>
      <c r="F35" s="166"/>
      <c r="G35" s="166"/>
      <c r="H35" s="166"/>
      <c r="I35" s="173" t="s">
        <v>224</v>
      </c>
      <c r="J35" s="179">
        <v>0.17499999999999999</v>
      </c>
    </row>
    <row r="44" spans="1:13" x14ac:dyDescent="0.3">
      <c r="A44" s="86"/>
      <c r="B44" s="86"/>
      <c r="C44" s="86"/>
      <c r="D44" s="86"/>
      <c r="E44" s="86"/>
      <c r="F44" s="86"/>
      <c r="G44" s="86"/>
      <c r="H44" s="86"/>
      <c r="I44" s="86"/>
      <c r="J44" s="86"/>
    </row>
    <row r="45" spans="1:13" x14ac:dyDescent="0.3">
      <c r="A45" s="86"/>
      <c r="B45" s="86"/>
      <c r="C45" s="86"/>
      <c r="D45" s="86"/>
      <c r="E45" s="86"/>
      <c r="F45" s="86"/>
      <c r="G45" s="86"/>
      <c r="H45" s="86"/>
      <c r="I45" s="86"/>
      <c r="J45" s="185"/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85" zoomScaleNormal="85" workbookViewId="0">
      <selection activeCell="R2" sqref="R2"/>
    </sheetView>
  </sheetViews>
  <sheetFormatPr baseColWidth="10" defaultRowHeight="14.4" x14ac:dyDescent="0.3"/>
  <cols>
    <col min="4" max="4" width="17" customWidth="1"/>
    <col min="7" max="7" width="13.77734375" bestFit="1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x14ac:dyDescent="0.3">
      <c r="A2" s="51" t="s">
        <v>676</v>
      </c>
      <c r="B2" s="52" t="s">
        <v>15</v>
      </c>
      <c r="C2" s="53" t="s">
        <v>319</v>
      </c>
      <c r="D2" s="54">
        <f>SUM(Table_354567810111415161718[[#This Row],[Fixe]:[Retraite ]])</f>
        <v>4913313</v>
      </c>
      <c r="E2" s="55">
        <v>1000000</v>
      </c>
      <c r="F2" s="55">
        <v>1112320</v>
      </c>
      <c r="G2" s="56">
        <v>414720</v>
      </c>
      <c r="H2" s="55">
        <v>2386273</v>
      </c>
      <c r="I2" s="55"/>
      <c r="J2" s="55"/>
      <c r="K2" s="58">
        <f>((J11*J7)*F2+(J24*J20)*G2+(J33*J29)*H2)/((J7*F2)+(J20*G2)+(J29*H2))</f>
        <v>0.24783887821446471</v>
      </c>
      <c r="L2" s="59">
        <f>1-K2</f>
        <v>0.75216112178553529</v>
      </c>
      <c r="M2" s="59">
        <f>(J7*F2+J20*G2+J29*H2)
/(F2+G2+H2)</f>
        <v>0.68812442935180507</v>
      </c>
      <c r="N2" s="60">
        <f>(J7*F2+J20*G2+J29*H2)/D2</f>
        <v>0.54807138788023491</v>
      </c>
      <c r="O2" s="61">
        <f>(F2*J10+G2*J23+H2*J32)/D2</f>
        <v>0.19715290884175299</v>
      </c>
      <c r="P2" s="62">
        <f>(J8*F2+J21*G2+J30*H2)/D2</f>
        <v>0.24839995436887496</v>
      </c>
      <c r="Q2" s="62">
        <f>(J9*F2+J22*G2+J31*H2)/D2</f>
        <v>0.20312215505098088</v>
      </c>
      <c r="R2" s="62">
        <f>(J13*F2+J26*G2+J35*H2)/(F2+G2+H2)</f>
        <v>0.22660357732693501</v>
      </c>
      <c r="S2" s="62">
        <f>(J13*F2+J26*G2+J35*H2)/D2</f>
        <v>0.18048325539203383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351</v>
      </c>
      <c r="C7" s="19">
        <f>30%*60%</f>
        <v>0.18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352</v>
      </c>
      <c r="C8" s="19">
        <f>30%*60%</f>
        <v>0.18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353</v>
      </c>
      <c r="C9" s="19">
        <f>20%*60%</f>
        <v>0.12</v>
      </c>
      <c r="D9" s="11" t="s">
        <v>191</v>
      </c>
      <c r="E9" s="11" t="s">
        <v>103</v>
      </c>
      <c r="F9" s="11" t="s">
        <v>225</v>
      </c>
      <c r="G9" s="16"/>
      <c r="H9" s="8"/>
      <c r="I9" s="44" t="s">
        <v>213</v>
      </c>
      <c r="J9" s="45">
        <f>SUMIFS(C7:C17,E7:E17,"NF",G7:G17,"OUI")</f>
        <v>0.2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354</v>
      </c>
      <c r="C10" s="19">
        <f>20%*60%</f>
        <v>0.12</v>
      </c>
      <c r="D10" s="11" t="s">
        <v>191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0.12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355</v>
      </c>
      <c r="C11" s="19">
        <f>25%*40%</f>
        <v>0.1</v>
      </c>
      <c r="D11" s="11"/>
      <c r="E11" s="11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356</v>
      </c>
      <c r="C12" s="19">
        <f>25%*40%</f>
        <v>0.1</v>
      </c>
      <c r="D12" s="19"/>
      <c r="E12" s="19" t="s">
        <v>197</v>
      </c>
      <c r="F12" s="19"/>
      <c r="G12" s="20" t="s">
        <v>225</v>
      </c>
      <c r="H12" s="20" t="s">
        <v>225</v>
      </c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357</v>
      </c>
      <c r="C13" s="19">
        <f>20%*40%</f>
        <v>8.0000000000000016E-2</v>
      </c>
      <c r="D13" s="19"/>
      <c r="E13" s="19" t="s">
        <v>197</v>
      </c>
      <c r="F13" s="19"/>
      <c r="G13" s="20"/>
      <c r="H13" s="20"/>
      <c r="I13" s="44" t="s">
        <v>687</v>
      </c>
      <c r="J13" s="45">
        <f>SUMIFS(C7:C17,E7:E17,"NF",H7:H17,"OUI")</f>
        <v>0.1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358</v>
      </c>
      <c r="C14" s="19">
        <f>15%*40%</f>
        <v>0.06</v>
      </c>
      <c r="D14" s="19"/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359</v>
      </c>
      <c r="C15" s="19">
        <f>15%*40%</f>
        <v>0.06</v>
      </c>
      <c r="D15" s="23"/>
      <c r="E15" s="23" t="s">
        <v>197</v>
      </c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 t="s">
        <v>360</v>
      </c>
      <c r="C20" s="32">
        <v>1</v>
      </c>
      <c r="D20" s="33"/>
      <c r="E20" s="33" t="s">
        <v>103</v>
      </c>
      <c r="F20" s="34"/>
      <c r="G20" s="35"/>
      <c r="H20" s="8"/>
      <c r="I20" s="44" t="s">
        <v>211</v>
      </c>
      <c r="J20" s="45">
        <f>SUMIF(E20:E23,"F",C20:C23)</f>
        <v>1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J24" s="95">
        <f>SUMIFS(C20:C23,D20:D23,"CT",E20:E23,"F")/J20</f>
        <v>0</v>
      </c>
      <c r="K24" s="69">
        <f>SUMIFS(C20:C23,D20:D23,"CT",E20:E23,"F")/J20</f>
        <v>0</v>
      </c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>
        <f>1-J24</f>
        <v>1</v>
      </c>
      <c r="K25" s="66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45" t="e">
        <f>SUMIFS(C20:C26,E20:E26,"NF",H20:H27,"OUI")</f>
        <v>#VALUE!</v>
      </c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362</v>
      </c>
      <c r="C29" s="78">
        <v>0.35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0.67500000000000004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361</v>
      </c>
      <c r="C30" s="78">
        <f>50%*65%</f>
        <v>0.32500000000000001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SUMIF(E29:E32,"NF",C29:C32)</f>
        <v>0.32500000000000001</v>
      </c>
      <c r="K30" s="65"/>
      <c r="L30" s="65"/>
      <c r="M30" s="65"/>
    </row>
    <row r="31" spans="1:17" ht="15" thickBot="1" x14ac:dyDescent="0.35">
      <c r="A31" s="8" t="s">
        <v>194</v>
      </c>
      <c r="B31" s="86" t="s">
        <v>363</v>
      </c>
      <c r="C31" s="78">
        <f>50%*65%</f>
        <v>0.32500000000000001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SUMIFS(C29:C32,E29:E32,"NF",G29:G32,"OUI")</f>
        <v>0.32500000000000001</v>
      </c>
      <c r="K31" s="65"/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0.35</v>
      </c>
      <c r="K32" s="65"/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25"/>
      <c r="I33" s="44" t="s">
        <v>239</v>
      </c>
      <c r="J33" s="70">
        <f>SUMIFS(C29:C32,D29:D32,"CT",E29:E32,"F")/J29</f>
        <v>0</v>
      </c>
      <c r="K33" s="65"/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0.32500000000000001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6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241</v>
      </c>
      <c r="B2" s="52" t="s">
        <v>11</v>
      </c>
      <c r="C2" s="53" t="s">
        <v>220</v>
      </c>
      <c r="D2" s="54">
        <f>SUM(Table_354513[[#This Row],[Fixe]:[Retraite ]])</f>
        <v>9331946</v>
      </c>
      <c r="E2" s="55">
        <v>1500000</v>
      </c>
      <c r="F2" s="55">
        <v>2850000</v>
      </c>
      <c r="G2" s="56"/>
      <c r="H2" s="55">
        <v>4897894</v>
      </c>
      <c r="I2" s="55">
        <f>9052+75000</f>
        <v>84052</v>
      </c>
      <c r="J2" s="57"/>
      <c r="K2" s="58">
        <f>((J11*J7)*F2+(J24*J20)*G2+(J33*J29)*H2)/((J7*F2)+(J20*G2)+(J29*H2))</f>
        <v>0.27949832698185645</v>
      </c>
      <c r="L2" s="59">
        <f>1-K2</f>
        <v>0.7205016730181435</v>
      </c>
      <c r="M2" s="59">
        <f>(J7*F2+J20*G2+J29*H2)
/(F2+G2+H2)</f>
        <v>0.65803952661200582</v>
      </c>
      <c r="N2" s="60">
        <f>(J7*F2+J20*G2+J29*H2)/D2</f>
        <v>0.54634054890587669</v>
      </c>
      <c r="O2" s="61">
        <f>(F2*J10+G2*J23+H2*J32)/D2</f>
        <v>0.13121309317477833</v>
      </c>
      <c r="P2" s="62">
        <f>(J8*F2+J21*G2+J30*H2)/D2</f>
        <v>0.28391436255631997</v>
      </c>
      <c r="Q2" s="62">
        <f>(J9*F2+J22*G2+J31*H2)/D2</f>
        <v>9.1620761628925004E-2</v>
      </c>
      <c r="R2" s="62">
        <f>(J13*F2+J26*G2+J35*H2)/(F2+G2+H2)</f>
        <v>0.23160790532240116</v>
      </c>
      <c r="S2" s="62">
        <f>(J13*F2+J26*G2+J35*H2)/D2</f>
        <v>0.192293600927395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9" t="s">
        <v>242</v>
      </c>
      <c r="C7" s="10">
        <v>0.2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0.5</v>
      </c>
      <c r="K7" s="65"/>
      <c r="L7" s="65"/>
      <c r="M7" s="190" t="s">
        <v>266</v>
      </c>
      <c r="N7" s="30" t="s">
        <v>699</v>
      </c>
      <c r="O7" s="63"/>
      <c r="P7" s="30"/>
      <c r="Q7" s="30"/>
    </row>
    <row r="8" spans="1:24" ht="15" thickBot="1" x14ac:dyDescent="0.35">
      <c r="A8" s="8" t="s">
        <v>192</v>
      </c>
      <c r="B8" s="9" t="s">
        <v>243</v>
      </c>
      <c r="C8" s="10">
        <v>0.15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0.5</v>
      </c>
      <c r="K8" s="65"/>
      <c r="N8" s="30"/>
      <c r="O8" s="63"/>
      <c r="P8" s="30"/>
      <c r="Q8" s="30"/>
    </row>
    <row r="9" spans="1:24" ht="29.4" thickBot="1" x14ac:dyDescent="0.35">
      <c r="A9" s="8" t="s">
        <v>194</v>
      </c>
      <c r="B9" s="15" t="s">
        <v>244</v>
      </c>
      <c r="C9" s="10">
        <v>0.15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0.30000000000000004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9" t="s">
        <v>250</v>
      </c>
      <c r="C10" s="10">
        <v>0.1</v>
      </c>
      <c r="D10" s="11"/>
      <c r="E10" s="11" t="s">
        <v>197</v>
      </c>
      <c r="F10" s="11"/>
      <c r="G10" s="16" t="s">
        <v>225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9" t="s">
        <v>245</v>
      </c>
      <c r="C11" s="10">
        <v>0.2</v>
      </c>
      <c r="D11" s="11"/>
      <c r="E11" s="11" t="s">
        <v>197</v>
      </c>
      <c r="F11" s="11"/>
      <c r="G11" s="16" t="s">
        <v>225</v>
      </c>
      <c r="H11" s="20" t="s">
        <v>225</v>
      </c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7" t="s">
        <v>246</v>
      </c>
      <c r="C12" s="18">
        <v>0.2</v>
      </c>
      <c r="D12" s="19"/>
      <c r="E12" s="19" t="s">
        <v>197</v>
      </c>
      <c r="F12" s="19"/>
      <c r="G12" s="20" t="s">
        <v>247</v>
      </c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7"/>
      <c r="C13" s="18"/>
      <c r="D13" s="19"/>
      <c r="E13" s="19"/>
      <c r="F13" s="19"/>
      <c r="G13" s="20"/>
      <c r="H13" s="20"/>
      <c r="I13" s="44" t="s">
        <v>687</v>
      </c>
      <c r="J13" s="45">
        <f>SUMIFS(C7:C17,E7:E17,"NF",H7:H17,"OUI")</f>
        <v>0.2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7"/>
      <c r="C14" s="1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21"/>
      <c r="C15" s="22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36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209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9" t="s">
        <v>233</v>
      </c>
      <c r="C29" s="40">
        <v>0.25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0.75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41" t="s">
        <v>248</v>
      </c>
      <c r="C30" s="42">
        <v>0.25</v>
      </c>
      <c r="D30" s="11" t="s">
        <v>237</v>
      </c>
      <c r="E30" s="11" t="s">
        <v>103</v>
      </c>
      <c r="F30" s="12"/>
      <c r="G30" s="16"/>
      <c r="H30" s="8"/>
      <c r="I30" s="44" t="s">
        <v>212</v>
      </c>
      <c r="J30" s="45">
        <f>SUMIF(E29:E32,"NF",C29:C32)</f>
        <v>0.25</v>
      </c>
      <c r="L30" s="65"/>
      <c r="M30" s="65"/>
    </row>
    <row r="31" spans="1:17" ht="15" thickBot="1" x14ac:dyDescent="0.35">
      <c r="A31" s="8" t="s">
        <v>194</v>
      </c>
      <c r="B31" s="43" t="s">
        <v>700</v>
      </c>
      <c r="C31" s="40">
        <v>0.25</v>
      </c>
      <c r="D31" s="33" t="s">
        <v>237</v>
      </c>
      <c r="E31" s="33" t="s">
        <v>103</v>
      </c>
      <c r="F31" s="34"/>
      <c r="G31" s="35"/>
      <c r="H31" s="8"/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26" t="s">
        <v>249</v>
      </c>
      <c r="C32" s="67">
        <v>0.25</v>
      </c>
      <c r="D32" s="38" t="s">
        <v>237</v>
      </c>
      <c r="E32" s="38" t="s">
        <v>197</v>
      </c>
      <c r="F32" s="38"/>
      <c r="G32" s="39"/>
      <c r="H32" s="8" t="s">
        <v>225</v>
      </c>
      <c r="I32" s="44" t="s">
        <v>214</v>
      </c>
      <c r="J32" s="45">
        <f>SUMIFS(C29:C32,E29:E32,"F",F29:F32,"oui")</f>
        <v>0.25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25"/>
      <c r="I33" s="44" t="s">
        <v>239</v>
      </c>
      <c r="J33" s="45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0.25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="70" workbookViewId="0">
      <selection activeCell="L26" sqref="L26"/>
    </sheetView>
  </sheetViews>
  <sheetFormatPr baseColWidth="10" defaultRowHeight="14.4" x14ac:dyDescent="0.3"/>
  <cols>
    <col min="2" max="2" width="20.77734375" customWidth="1"/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625</v>
      </c>
      <c r="B2" s="52" t="s">
        <v>39</v>
      </c>
      <c r="C2" s="53" t="s">
        <v>220</v>
      </c>
      <c r="D2" s="54">
        <f>SUM(Table_354567810111415161718192021222324272829303132333435363738394041444[[#This Row],[Fixe]:[Retraite ]])</f>
        <v>2451793</v>
      </c>
      <c r="E2" s="55">
        <v>1100000</v>
      </c>
      <c r="F2" s="55">
        <v>1244000</v>
      </c>
      <c r="G2" s="56"/>
      <c r="H2" s="56">
        <v>101954</v>
      </c>
      <c r="I2" s="55">
        <v>5839</v>
      </c>
      <c r="J2" s="55"/>
      <c r="K2" s="58">
        <f>((J11*J7)*F2+(J24*J20)*G2+(J33*J29)*H2)/((J7*F2)+(J20*G2)+(J29*H2))</f>
        <v>0.91661396259186423</v>
      </c>
      <c r="L2" s="59">
        <f>1-K2</f>
        <v>8.3386037408135771E-2</v>
      </c>
      <c r="M2" s="59">
        <f>(J7*F2+J20*G2+J29*H2)
/(F2+G2+H2)</f>
        <v>0.60499940116824202</v>
      </c>
      <c r="N2" s="92">
        <f>(J7*F2+J20*G2+J29*H2)/D2</f>
        <v>0.33212484251321384</v>
      </c>
      <c r="O2" s="61">
        <f>(F2*J10+G2*J23+H2*J32)/D2</f>
        <v>0.33212484251321384</v>
      </c>
      <c r="P2" s="62">
        <f>(J8*F2+J21*G2+J30*H2)/D2</f>
        <v>0.21680079925181281</v>
      </c>
      <c r="Q2" s="62">
        <f>(J9*F2+J22*G2+J31*H2)/D2</f>
        <v>0.13561939445948334</v>
      </c>
      <c r="R2" s="62">
        <f>(J13*F2+J26*G2+J35*H2)/(F2+G2+H2)</f>
        <v>7.3940119796070292E-2</v>
      </c>
      <c r="S2" s="62">
        <f>(J13*F2+J26*G2+J35*H2)/D2</f>
        <v>4.0590702396164767E-2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191" t="s">
        <v>182</v>
      </c>
      <c r="B6" s="192" t="s">
        <v>183</v>
      </c>
      <c r="C6" s="193" t="s">
        <v>184</v>
      </c>
      <c r="D6" s="194" t="s">
        <v>185</v>
      </c>
      <c r="E6" s="194" t="s">
        <v>186</v>
      </c>
      <c r="F6" s="194" t="s">
        <v>187</v>
      </c>
      <c r="G6" s="195" t="s">
        <v>188</v>
      </c>
      <c r="H6" s="191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196" t="s">
        <v>189</v>
      </c>
      <c r="B7" s="197" t="s">
        <v>701</v>
      </c>
      <c r="C7" s="198">
        <v>0.2</v>
      </c>
      <c r="D7" s="199" t="s">
        <v>191</v>
      </c>
      <c r="E7" s="199" t="s">
        <v>103</v>
      </c>
      <c r="F7" s="200" t="s">
        <v>225</v>
      </c>
      <c r="G7" s="201"/>
      <c r="H7" s="196"/>
      <c r="I7" s="44" t="s">
        <v>211</v>
      </c>
      <c r="J7" s="45">
        <f>SUMIF(E7:E17,"F",C7:C17)</f>
        <v>0.60000000000000009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196" t="s">
        <v>192</v>
      </c>
      <c r="B8" s="197" t="s">
        <v>702</v>
      </c>
      <c r="C8" s="198">
        <v>0.2</v>
      </c>
      <c r="D8" s="199" t="s">
        <v>191</v>
      </c>
      <c r="E8" s="199" t="s">
        <v>103</v>
      </c>
      <c r="F8" s="202" t="s">
        <v>225</v>
      </c>
      <c r="G8" s="201"/>
      <c r="H8" s="196"/>
      <c r="I8" s="44" t="s">
        <v>212</v>
      </c>
      <c r="J8" s="45">
        <f>SUMIF(E7:E17,"NF",C7:C17)</f>
        <v>0.39999999999999997</v>
      </c>
      <c r="K8" s="65"/>
      <c r="N8" s="30"/>
      <c r="O8" s="63"/>
      <c r="P8" s="30"/>
      <c r="Q8" s="30"/>
    </row>
    <row r="9" spans="1:24" ht="15" thickBot="1" x14ac:dyDescent="0.35">
      <c r="A9" s="196" t="s">
        <v>194</v>
      </c>
      <c r="B9" s="203" t="s">
        <v>703</v>
      </c>
      <c r="C9" s="198">
        <v>0.2</v>
      </c>
      <c r="D9" s="199" t="s">
        <v>191</v>
      </c>
      <c r="E9" s="199" t="s">
        <v>103</v>
      </c>
      <c r="F9" s="204" t="s">
        <v>225</v>
      </c>
      <c r="G9" s="205"/>
      <c r="H9" s="196"/>
      <c r="I9" s="44" t="s">
        <v>213</v>
      </c>
      <c r="J9" s="45">
        <f>SUMIFS(C7:C17,E7:E17,"NF",G7:G17,"OUI")</f>
        <v>0.24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196" t="s">
        <v>198</v>
      </c>
      <c r="B10" s="206" t="s">
        <v>627</v>
      </c>
      <c r="C10" s="198">
        <v>0.08</v>
      </c>
      <c r="D10" s="199"/>
      <c r="E10" s="199" t="s">
        <v>197</v>
      </c>
      <c r="F10" s="204"/>
      <c r="G10" s="205" t="s">
        <v>225</v>
      </c>
      <c r="H10" s="196"/>
      <c r="I10" s="44" t="s">
        <v>214</v>
      </c>
      <c r="J10" s="45">
        <f>SUMIFS(C7:C17,E7:E17,"F",F7:F17,"oui")</f>
        <v>0.60000000000000009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196" t="s">
        <v>200</v>
      </c>
      <c r="B11" s="207" t="s">
        <v>630</v>
      </c>
      <c r="C11" s="198">
        <v>0.08</v>
      </c>
      <c r="D11" s="199"/>
      <c r="E11" s="199" t="s">
        <v>197</v>
      </c>
      <c r="F11" s="204"/>
      <c r="G11" s="205" t="s">
        <v>225</v>
      </c>
      <c r="H11" s="208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196" t="s">
        <v>202</v>
      </c>
      <c r="B12" s="207" t="s">
        <v>631</v>
      </c>
      <c r="C12" s="209">
        <v>0.08</v>
      </c>
      <c r="D12" s="199"/>
      <c r="E12" s="199" t="s">
        <v>197</v>
      </c>
      <c r="F12" s="206"/>
      <c r="G12" s="208" t="s">
        <v>225</v>
      </c>
      <c r="H12" s="208" t="s">
        <v>225</v>
      </c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196" t="s">
        <v>203</v>
      </c>
      <c r="B13" s="206" t="s">
        <v>626</v>
      </c>
      <c r="C13" s="209">
        <v>0.08</v>
      </c>
      <c r="D13" s="199"/>
      <c r="E13" s="199" t="s">
        <v>197</v>
      </c>
      <c r="F13" s="206"/>
      <c r="G13" s="208"/>
      <c r="H13" s="208"/>
      <c r="I13" s="44" t="s">
        <v>687</v>
      </c>
      <c r="J13" s="45">
        <f>SUMIFS(C7:C17,E7:E17,"NF",H7:H17,"OUI")</f>
        <v>0.08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196" t="s">
        <v>204</v>
      </c>
      <c r="B14" s="206" t="s">
        <v>628</v>
      </c>
      <c r="C14" s="209">
        <v>0.03</v>
      </c>
      <c r="D14" s="206"/>
      <c r="E14" s="199" t="s">
        <v>197</v>
      </c>
      <c r="F14" s="206"/>
      <c r="G14" s="208"/>
      <c r="H14" s="208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196" t="s">
        <v>205</v>
      </c>
      <c r="B15" s="206" t="s">
        <v>629</v>
      </c>
      <c r="C15" s="209">
        <v>0.05</v>
      </c>
      <c r="D15" s="199"/>
      <c r="E15" s="199" t="s">
        <v>197</v>
      </c>
      <c r="F15" s="199"/>
      <c r="G15" s="210"/>
      <c r="H15" s="210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196" t="s">
        <v>206</v>
      </c>
      <c r="B16" s="206"/>
      <c r="C16" s="209"/>
      <c r="D16" s="199"/>
      <c r="E16" s="199"/>
      <c r="F16" s="199"/>
      <c r="G16" s="210"/>
      <c r="H16" s="210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11" t="s">
        <v>207</v>
      </c>
      <c r="B17" s="212"/>
      <c r="C17" s="213"/>
      <c r="D17" s="213"/>
      <c r="E17" s="213"/>
      <c r="F17" s="213"/>
      <c r="G17" s="214"/>
      <c r="H17" s="214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215"/>
      <c r="B18" s="215"/>
      <c r="C18" s="216"/>
      <c r="D18" s="215"/>
      <c r="E18" s="215"/>
      <c r="F18" s="215"/>
      <c r="G18" s="215"/>
      <c r="H18" s="215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191" t="s">
        <v>174</v>
      </c>
      <c r="B19" s="192" t="s">
        <v>183</v>
      </c>
      <c r="C19" s="193" t="s">
        <v>184</v>
      </c>
      <c r="D19" s="194" t="s">
        <v>208</v>
      </c>
      <c r="E19" s="194" t="s">
        <v>186</v>
      </c>
      <c r="F19" s="194" t="s">
        <v>187</v>
      </c>
      <c r="G19" s="195" t="s">
        <v>188</v>
      </c>
      <c r="H19" s="191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196" t="s">
        <v>189</v>
      </c>
      <c r="B20" s="217"/>
      <c r="C20" s="218"/>
      <c r="D20" s="219"/>
      <c r="E20" s="219"/>
      <c r="F20" s="220"/>
      <c r="G20" s="221"/>
      <c r="H20" s="196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196" t="s">
        <v>192</v>
      </c>
      <c r="B21" s="222"/>
      <c r="C21" s="218"/>
      <c r="D21" s="219"/>
      <c r="E21" s="219"/>
      <c r="F21" s="219"/>
      <c r="G21" s="221"/>
      <c r="H21" s="196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196" t="s">
        <v>194</v>
      </c>
      <c r="B22" s="222"/>
      <c r="C22" s="218"/>
      <c r="D22" s="219"/>
      <c r="E22" s="219"/>
      <c r="F22" s="219"/>
      <c r="G22" s="221"/>
      <c r="H22" s="196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196" t="s">
        <v>198</v>
      </c>
      <c r="B23" s="222"/>
      <c r="C23" s="218"/>
      <c r="D23" s="219"/>
      <c r="E23" s="219"/>
      <c r="F23" s="219"/>
      <c r="G23" s="221"/>
      <c r="H23" s="196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211" t="s">
        <v>200</v>
      </c>
      <c r="B24" s="212"/>
      <c r="C24" s="223"/>
      <c r="D24" s="224"/>
      <c r="E24" s="224"/>
      <c r="F24" s="224"/>
      <c r="G24" s="225"/>
      <c r="H24" s="211"/>
      <c r="I24" s="44" t="s">
        <v>239</v>
      </c>
      <c r="J24" s="2"/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A25" s="207"/>
      <c r="B25" s="207"/>
      <c r="C25" s="207"/>
      <c r="D25" s="207"/>
      <c r="E25" s="207"/>
      <c r="F25" s="207"/>
      <c r="G25" s="207"/>
      <c r="H25" s="207"/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A26" s="207"/>
      <c r="B26" s="207"/>
      <c r="C26" s="207"/>
      <c r="D26" s="207"/>
      <c r="E26" s="207"/>
      <c r="F26" s="207"/>
      <c r="G26" s="207"/>
      <c r="H26" s="207"/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A27" s="207"/>
      <c r="B27" s="207"/>
      <c r="C27" s="207"/>
      <c r="D27" s="207"/>
      <c r="E27" s="207"/>
      <c r="F27" s="207"/>
      <c r="G27" s="207"/>
      <c r="H27" s="207"/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191" t="s">
        <v>175</v>
      </c>
      <c r="B28" s="192" t="s">
        <v>183</v>
      </c>
      <c r="C28" s="193" t="s">
        <v>184</v>
      </c>
      <c r="D28" s="194" t="s">
        <v>208</v>
      </c>
      <c r="E28" s="194" t="s">
        <v>186</v>
      </c>
      <c r="F28" s="194" t="s">
        <v>187</v>
      </c>
      <c r="G28" s="195" t="s">
        <v>188</v>
      </c>
      <c r="H28" s="191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196" t="s">
        <v>189</v>
      </c>
      <c r="B29" s="197" t="s">
        <v>704</v>
      </c>
      <c r="C29" s="218">
        <v>0.33300000000000002</v>
      </c>
      <c r="D29" s="219" t="s">
        <v>237</v>
      </c>
      <c r="E29" s="219" t="s">
        <v>103</v>
      </c>
      <c r="F29" s="220" t="s">
        <v>225</v>
      </c>
      <c r="G29" s="221"/>
      <c r="H29" s="196"/>
      <c r="I29" s="44" t="s">
        <v>211</v>
      </c>
      <c r="J29" s="45">
        <f>SUMIF(E29:E37,"F",C29:C37)</f>
        <v>0.66600000000000004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196" t="s">
        <v>192</v>
      </c>
      <c r="B30" s="197" t="s">
        <v>705</v>
      </c>
      <c r="C30" s="218">
        <v>0.33300000000000002</v>
      </c>
      <c r="D30" s="219" t="s">
        <v>237</v>
      </c>
      <c r="E30" s="219" t="s">
        <v>103</v>
      </c>
      <c r="F30" s="219" t="s">
        <v>225</v>
      </c>
      <c r="G30" s="221"/>
      <c r="H30" s="196"/>
      <c r="I30" s="44" t="s">
        <v>212</v>
      </c>
      <c r="J30" s="45">
        <f>SUMIF(E29:E31,"NF",C29:C37)</f>
        <v>0.33300000000000002</v>
      </c>
      <c r="K30" s="65"/>
      <c r="L30" s="65"/>
      <c r="M30" s="65"/>
    </row>
    <row r="31" spans="1:17" ht="15" thickBot="1" x14ac:dyDescent="0.35">
      <c r="A31" s="196" t="s">
        <v>194</v>
      </c>
      <c r="B31" s="197" t="s">
        <v>706</v>
      </c>
      <c r="C31" s="218">
        <v>0.33300000000000002</v>
      </c>
      <c r="D31" s="219"/>
      <c r="E31" s="219" t="s">
        <v>197</v>
      </c>
      <c r="F31" s="219"/>
      <c r="G31" s="221" t="s">
        <v>225</v>
      </c>
      <c r="H31" s="196"/>
      <c r="I31" s="44" t="s">
        <v>213</v>
      </c>
      <c r="J31" s="45">
        <f>SUMIFS(C29:C31,E29:E31,"NF",G29:G31,"OUI")</f>
        <v>0.33300000000000002</v>
      </c>
      <c r="L31" s="65"/>
      <c r="M31" s="65"/>
    </row>
    <row r="32" spans="1:17" ht="15" thickBot="1" x14ac:dyDescent="0.35">
      <c r="A32" s="196" t="s">
        <v>198</v>
      </c>
      <c r="B32" s="226"/>
      <c r="C32" s="227"/>
      <c r="D32" s="219"/>
      <c r="E32" s="219"/>
      <c r="F32" s="219"/>
      <c r="G32" s="221"/>
      <c r="H32" s="196"/>
      <c r="I32" s="44" t="s">
        <v>214</v>
      </c>
      <c r="J32" s="45">
        <f>SUMIFS(C29:C31,E29:E31,"F",F29:F31,"oui")</f>
        <v>0.66600000000000004</v>
      </c>
      <c r="L32" s="65"/>
      <c r="M32" s="65"/>
    </row>
    <row r="33" spans="1:13" ht="15" thickBot="1" x14ac:dyDescent="0.35">
      <c r="A33" s="196" t="s">
        <v>200</v>
      </c>
      <c r="B33" s="226"/>
      <c r="C33" s="227"/>
      <c r="D33" s="219"/>
      <c r="E33" s="219"/>
      <c r="F33" s="219"/>
      <c r="G33" s="221"/>
      <c r="H33" s="211"/>
      <c r="I33" s="44" t="s">
        <v>239</v>
      </c>
      <c r="J33" s="98">
        <f>SUMIFS(C29:C31,D29:D31,"CT",E29:E31,"F")/J29</f>
        <v>0</v>
      </c>
      <c r="L33" s="65"/>
      <c r="M33" s="65"/>
    </row>
    <row r="34" spans="1:13" ht="15" thickBot="1" x14ac:dyDescent="0.35">
      <c r="A34" s="196" t="s">
        <v>202</v>
      </c>
      <c r="B34" s="226"/>
      <c r="C34" s="227"/>
      <c r="D34" s="219"/>
      <c r="E34" s="219"/>
      <c r="F34" s="219"/>
      <c r="G34" s="221"/>
      <c r="H34" s="196"/>
      <c r="I34" s="44" t="s">
        <v>240</v>
      </c>
      <c r="J34" s="45">
        <f>1-J33</f>
        <v>1</v>
      </c>
    </row>
    <row r="35" spans="1:13" ht="15" thickBot="1" x14ac:dyDescent="0.35">
      <c r="A35" s="196" t="s">
        <v>203</v>
      </c>
      <c r="B35" s="226"/>
      <c r="C35" s="227"/>
      <c r="D35" s="219"/>
      <c r="E35" s="219"/>
      <c r="F35" s="219"/>
      <c r="G35" s="221"/>
      <c r="H35" s="196"/>
      <c r="I35" s="44" t="s">
        <v>224</v>
      </c>
      <c r="J35" s="45">
        <f>SUMIFS(C29:C31,E29:E31,"NF",H29:H31,"OUI")</f>
        <v>0</v>
      </c>
    </row>
    <row r="36" spans="1:13" x14ac:dyDescent="0.3">
      <c r="A36" s="196" t="s">
        <v>204</v>
      </c>
      <c r="B36" s="226"/>
      <c r="C36" s="227"/>
      <c r="D36" s="219"/>
      <c r="E36" s="219"/>
      <c r="F36" s="219"/>
      <c r="G36" s="221"/>
      <c r="H36" s="196"/>
      <c r="I36" s="65"/>
      <c r="J36" s="65"/>
    </row>
    <row r="37" spans="1:13" ht="15" thickBot="1" x14ac:dyDescent="0.35">
      <c r="A37" s="211" t="s">
        <v>205</v>
      </c>
      <c r="B37" s="228"/>
      <c r="C37" s="227"/>
      <c r="D37" s="224"/>
      <c r="E37" s="224"/>
      <c r="F37" s="224"/>
      <c r="G37" s="225"/>
      <c r="H37" s="211"/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80" workbookViewId="0">
      <selection activeCell="S4" sqref="S4"/>
    </sheetView>
  </sheetViews>
  <sheetFormatPr baseColWidth="10" defaultRowHeight="14.4" x14ac:dyDescent="0.3"/>
  <cols>
    <col min="2" max="2" width="30.6640625" bestFit="1" customWidth="1"/>
    <col min="3" max="3" width="9.88671875" bestFit="1" customWidth="1"/>
    <col min="4" max="4" width="17" customWidth="1"/>
    <col min="7" max="7" width="13.77734375" bestFit="1" customWidth="1"/>
    <col min="12" max="13" width="14" customWidth="1"/>
    <col min="14" max="14" width="13.109375" customWidth="1"/>
    <col min="18" max="18" width="14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57.6" x14ac:dyDescent="0.3">
      <c r="A2" s="51" t="s">
        <v>333</v>
      </c>
      <c r="B2" s="52" t="s">
        <v>14</v>
      </c>
      <c r="C2" s="53" t="s">
        <v>220</v>
      </c>
      <c r="D2" s="54">
        <f>SUM(Table_3545678101114151628[[#This Row],[Fixe]:[Retraite ]])</f>
        <v>5700464</v>
      </c>
      <c r="E2" s="55">
        <v>1400000</v>
      </c>
      <c r="F2" s="55">
        <v>2121000</v>
      </c>
      <c r="G2" s="56"/>
      <c r="H2" s="55">
        <v>2132571</v>
      </c>
      <c r="I2" s="55">
        <v>46893</v>
      </c>
      <c r="J2" s="55"/>
      <c r="K2" s="58">
        <f>((J11*J7)*F2+(J24*J20)*G2+(J33*J29)*H2)/((J7*F2)+(J20*G2)+(J29*H2))</f>
        <v>0.4601866413741203</v>
      </c>
      <c r="L2" s="59">
        <f>1-K2</f>
        <v>0.53981335862587976</v>
      </c>
      <c r="M2" s="59">
        <f>(J7*F2+J20*G2+J29*H2)
/(F2+G2+H2)</f>
        <v>0.65013601512705443</v>
      </c>
      <c r="N2" s="60">
        <f>(J7*F2+J20*G2+J29*H2)/D2</f>
        <v>0.48511835176925949</v>
      </c>
      <c r="O2" s="61">
        <f>(F2*J10+G2*J23+H2*J32)/D2</f>
        <v>0.31768461304202605</v>
      </c>
      <c r="P2" s="62">
        <f>(J8*F2+J21*G2+J30*H2)/D2</f>
        <v>0.26106143289388367</v>
      </c>
      <c r="Q2" s="62">
        <f>(J9*F2+J22*G2+J31*H2)/D2</f>
        <v>0.11223144291412067</v>
      </c>
      <c r="R2" s="62">
        <f>(J13*F2+J26*G2+J35*H2)/(F2+G2+H2)</f>
        <v>0.15040804538116326</v>
      </c>
      <c r="S2" s="62">
        <f>(J13*F2+J26*G2+J35*H2)/D2</f>
        <v>0.11223144291412067</v>
      </c>
    </row>
    <row r="3" spans="1:24" x14ac:dyDescent="0.3">
      <c r="A3" s="79"/>
      <c r="B3" s="79"/>
      <c r="C3" s="79"/>
      <c r="D3" s="80"/>
      <c r="E3" s="79"/>
      <c r="F3" s="79"/>
      <c r="G3" s="79"/>
      <c r="H3" s="80"/>
      <c r="I3" s="64"/>
      <c r="J3" s="64"/>
      <c r="K3" s="64"/>
      <c r="L3" s="64"/>
      <c r="M3" s="64"/>
      <c r="N3" s="229"/>
      <c r="O3" s="229"/>
      <c r="P3" s="230"/>
      <c r="Q3" s="230"/>
      <c r="R3" s="231"/>
      <c r="S3" s="230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232"/>
      <c r="O4" s="232"/>
      <c r="P4" s="232"/>
      <c r="Q4" s="232"/>
      <c r="R4" s="232"/>
      <c r="S4" s="232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4"/>
      <c r="J5" s="64"/>
      <c r="K5" s="64"/>
      <c r="L5" s="64"/>
      <c r="M5" s="64"/>
      <c r="N5" s="233"/>
      <c r="O5" s="233"/>
      <c r="P5" s="233"/>
      <c r="Q5" s="233"/>
      <c r="R5" s="231"/>
      <c r="S5" s="231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334</v>
      </c>
      <c r="C7" s="19">
        <v>0.15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335</v>
      </c>
      <c r="C8" s="19">
        <v>0.15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336</v>
      </c>
      <c r="C9" s="19">
        <v>0.15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337</v>
      </c>
      <c r="C10" s="19">
        <v>0.15</v>
      </c>
      <c r="D10" s="11" t="s">
        <v>191</v>
      </c>
      <c r="E10" s="11" t="s">
        <v>103</v>
      </c>
      <c r="F10" s="11" t="s">
        <v>225</v>
      </c>
      <c r="G10" s="16"/>
      <c r="H10" s="8"/>
      <c r="I10" s="44" t="s">
        <v>214</v>
      </c>
      <c r="J10" s="45">
        <f>SUMIFS(C7:C17,E7:E17,"F",F7:F17,"oui")</f>
        <v>0.15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338</v>
      </c>
      <c r="C11" s="19">
        <v>0.1</v>
      </c>
      <c r="D11" s="11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339</v>
      </c>
      <c r="C12" s="19">
        <v>0.1</v>
      </c>
      <c r="D12" s="19"/>
      <c r="E12" s="19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340</v>
      </c>
      <c r="C13" s="19">
        <v>0.2</v>
      </c>
      <c r="D13" s="19"/>
      <c r="E13" s="19" t="s">
        <v>197</v>
      </c>
      <c r="F13" s="19"/>
      <c r="G13" s="20"/>
      <c r="H13" s="20"/>
      <c r="I13" s="44" t="s">
        <v>687</v>
      </c>
      <c r="J13" s="45">
        <f>SUMIFS(C7:C17,E7:E17,"NF",H7:H17,"OUI")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341</v>
      </c>
      <c r="C29" s="78">
        <v>0.35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0.7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289</v>
      </c>
      <c r="C30" s="78">
        <v>0.35</v>
      </c>
      <c r="D30" s="33" t="s">
        <v>237</v>
      </c>
      <c r="E30" s="33" t="s">
        <v>103</v>
      </c>
      <c r="F30" s="33" t="s">
        <v>225</v>
      </c>
      <c r="G30" s="16"/>
      <c r="H30" s="8"/>
      <c r="I30" s="44" t="s">
        <v>212</v>
      </c>
      <c r="J30" s="45">
        <f>SUMIF(E29:E32,"NF",C29:C32)</f>
        <v>0.3</v>
      </c>
      <c r="L30" s="65"/>
      <c r="M30" s="65"/>
    </row>
    <row r="31" spans="1:17" ht="15" thickBot="1" x14ac:dyDescent="0.35">
      <c r="A31" s="8" t="s">
        <v>194</v>
      </c>
      <c r="B31" s="17" t="s">
        <v>342</v>
      </c>
      <c r="C31" s="78">
        <v>0.3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SUMIFS(C29:C32,E29:E32,"NF",G29:G32,"OUI")</f>
        <v>0.3</v>
      </c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0.7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25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I35" s="44" t="s">
        <v>224</v>
      </c>
      <c r="J35" s="45">
        <f>SUMIFS(C29:C37,E29:E37,"NF",H29:H37,"OUI")</f>
        <v>0.3</v>
      </c>
    </row>
    <row r="36" spans="1:13" x14ac:dyDescent="0.3">
      <c r="A36" s="65"/>
      <c r="B36" s="65"/>
      <c r="C36" s="65"/>
      <c r="D36" s="65"/>
      <c r="E36" s="65"/>
      <c r="F36" s="65"/>
      <c r="G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6"/>
  <sheetViews>
    <sheetView zoomScale="60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5.6640625" bestFit="1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252</v>
      </c>
      <c r="B2" s="52" t="s">
        <v>251</v>
      </c>
      <c r="C2" s="53" t="s">
        <v>220</v>
      </c>
      <c r="D2" s="54">
        <f>SUM(Table_3545634[[#This Row],[Fixe]:[Retraite ]])</f>
        <v>32962337</v>
      </c>
      <c r="E2" s="55">
        <v>1445000</v>
      </c>
      <c r="F2" s="55">
        <v>1590000</v>
      </c>
      <c r="G2" s="56"/>
      <c r="H2" s="55">
        <v>29865000</v>
      </c>
      <c r="I2" s="55">
        <f>44750+17587</f>
        <v>62337</v>
      </c>
      <c r="J2" s="57"/>
      <c r="K2" s="58">
        <f>((J11*J7)*F2+(J24*J20)*G2+(J33*J29)*H2)/((J7*F2)+(J20*G2)+(J29*H2))</f>
        <v>0.98981307962135412</v>
      </c>
      <c r="L2" s="59">
        <f>1-K2</f>
        <v>1.0186920378645881E-2</v>
      </c>
      <c r="M2" s="59">
        <f>(J7*F2+J20*G2+J29*H2)
/(F2+G2+H2)</f>
        <v>0.99241773962804003</v>
      </c>
      <c r="N2" s="60">
        <f>(J7*F2+J20*G2+J29*H2)/D2</f>
        <v>0.94703539982617135</v>
      </c>
      <c r="O2" s="61">
        <f>(F2*J10+G2*J23+H2*J32)/D2</f>
        <v>0.91568143363135934</v>
      </c>
      <c r="P2" s="62">
        <f>(J8*F2+J21*G2+J30*H2)/D2</f>
        <v>7.2355306603412248E-3</v>
      </c>
      <c r="Q2" s="62">
        <f>(J9*F2+J22*G2+J31*H2)/D2</f>
        <v>7.2355306603412248E-3</v>
      </c>
      <c r="R2" s="62">
        <f>(J13*F2+J26*G2+J35*H2)/(F2+G2+H2)</f>
        <v>1.8955650929899856E-3</v>
      </c>
      <c r="S2" s="62">
        <f>(J13*F2+J26*G2+J35*H2)/D2</f>
        <v>1.8088826650853062E-3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9" t="s">
        <v>253</v>
      </c>
      <c r="C7" s="10">
        <v>0.15</v>
      </c>
      <c r="D7" s="11" t="s">
        <v>196</v>
      </c>
      <c r="E7" s="11" t="s">
        <v>197</v>
      </c>
      <c r="F7" s="12"/>
      <c r="G7" s="13" t="s">
        <v>225</v>
      </c>
      <c r="H7" s="8" t="s">
        <v>225</v>
      </c>
      <c r="I7" s="44" t="s">
        <v>211</v>
      </c>
      <c r="J7" s="45">
        <f>SUMIF(E7:E17,"F",C7:C17)</f>
        <v>0.85000000000000009</v>
      </c>
      <c r="K7" s="65"/>
      <c r="L7" s="65"/>
      <c r="M7" s="190" t="s">
        <v>470</v>
      </c>
      <c r="N7" s="30" t="s">
        <v>707</v>
      </c>
      <c r="O7" s="63"/>
      <c r="P7" s="30"/>
      <c r="Q7" s="30"/>
    </row>
    <row r="8" spans="1:24" ht="15" thickBot="1" x14ac:dyDescent="0.35">
      <c r="A8" s="8" t="s">
        <v>192</v>
      </c>
      <c r="B8" s="41" t="s">
        <v>254</v>
      </c>
      <c r="C8" s="10">
        <v>0.2</v>
      </c>
      <c r="D8" s="11" t="s">
        <v>191</v>
      </c>
      <c r="E8" s="11" t="s">
        <v>103</v>
      </c>
      <c r="F8" s="14" t="s">
        <v>225</v>
      </c>
      <c r="G8" s="13"/>
      <c r="H8" s="8"/>
      <c r="I8" s="44" t="s">
        <v>212</v>
      </c>
      <c r="J8" s="45">
        <f>SUMIF(E7:E17,"NF",C7:C17)</f>
        <v>0.15</v>
      </c>
      <c r="K8" s="65"/>
      <c r="O8" s="63"/>
      <c r="P8" s="30"/>
      <c r="Q8" s="30"/>
    </row>
    <row r="9" spans="1:24" ht="15" thickBot="1" x14ac:dyDescent="0.35">
      <c r="A9" s="8" t="s">
        <v>194</v>
      </c>
      <c r="B9" s="41" t="s">
        <v>255</v>
      </c>
      <c r="C9" s="10">
        <v>0.15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0.15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41" t="s">
        <v>256</v>
      </c>
      <c r="C10" s="10">
        <v>0.15</v>
      </c>
      <c r="D10" s="11" t="s">
        <v>191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0.2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t="s">
        <v>257</v>
      </c>
      <c r="C11" s="10">
        <v>0.15</v>
      </c>
      <c r="D11" s="11" t="s">
        <v>191</v>
      </c>
      <c r="E11" s="11" t="s">
        <v>103</v>
      </c>
      <c r="F11" s="11"/>
      <c r="G11" s="16"/>
      <c r="H11" s="20"/>
      <c r="I11" s="44" t="s">
        <v>239</v>
      </c>
      <c r="J11" s="45">
        <f>SUMIFS(C7:C17,D7:D17,"CT",E7:E17,"F")/J7</f>
        <v>0.76470588235294112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t="s">
        <v>258</v>
      </c>
      <c r="C12" s="18">
        <v>0.2</v>
      </c>
      <c r="D12" s="19" t="s">
        <v>237</v>
      </c>
      <c r="E12" s="19" t="s">
        <v>103</v>
      </c>
      <c r="F12" s="19"/>
      <c r="G12" s="20"/>
      <c r="H12" s="20"/>
      <c r="I12" s="44" t="s">
        <v>237</v>
      </c>
      <c r="J12" s="45">
        <f>1-J11</f>
        <v>0.23529411764705888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7"/>
      <c r="C13" s="18"/>
      <c r="D13" s="19"/>
      <c r="E13" s="19"/>
      <c r="F13" s="19"/>
      <c r="G13" s="20"/>
      <c r="H13" s="20"/>
      <c r="I13" s="44" t="s">
        <v>687</v>
      </c>
      <c r="J13" s="45">
        <f>1/4*(SUMIFS(C7:C17,E7:E17,"NF",H7:H17,"OUI"))</f>
        <v>3.7499999999999999E-2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7"/>
      <c r="C14" s="1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21"/>
      <c r="C15" s="22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36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209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1" t="s">
        <v>259</v>
      </c>
      <c r="C29" s="40">
        <v>1</v>
      </c>
      <c r="D29" s="33" t="s">
        <v>191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1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41"/>
      <c r="C30" s="42"/>
      <c r="D30" s="11"/>
      <c r="E30" s="11"/>
      <c r="F30" s="12"/>
      <c r="G30" s="16"/>
      <c r="H30" s="8"/>
      <c r="I30" s="44" t="s">
        <v>212</v>
      </c>
      <c r="J30" s="45">
        <f>SUMIF(E29:E32,"NF",C29:C32)</f>
        <v>0</v>
      </c>
      <c r="L30" s="65"/>
      <c r="M30" s="65"/>
    </row>
    <row r="31" spans="1:17" ht="15" thickBot="1" x14ac:dyDescent="0.35">
      <c r="A31" s="8" t="s">
        <v>194</v>
      </c>
      <c r="B31" s="43"/>
      <c r="C31" s="40"/>
      <c r="D31" s="33"/>
      <c r="E31" s="33"/>
      <c r="F31" s="34"/>
      <c r="G31" s="35"/>
      <c r="H31" s="8"/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26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1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25"/>
      <c r="I33" s="44" t="s">
        <v>239</v>
      </c>
      <c r="J33" s="45">
        <f>SUMIFS(C29:C32,D29:D32,"CT",E29:E32,"F")/J29</f>
        <v>1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I34" s="44" t="s">
        <v>240</v>
      </c>
      <c r="J34" s="45">
        <f>1-J33</f>
        <v>0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zoomScale="71" zoomScaleNormal="85" workbookViewId="0">
      <selection activeCell="R2" sqref="R2"/>
    </sheetView>
  </sheetViews>
  <sheetFormatPr baseColWidth="10" defaultRowHeight="14.4" x14ac:dyDescent="0.3"/>
  <cols>
    <col min="2" max="2" width="39.21875" customWidth="1"/>
    <col min="3" max="3" width="15.77734375" customWidth="1"/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  <col min="15" max="16" width="11.21875" bestFit="1" customWidth="1"/>
    <col min="17" max="17" width="12.21875" bestFit="1" customWidth="1"/>
    <col min="18" max="18" width="11.21875" bestFit="1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599</v>
      </c>
      <c r="B2" s="52" t="s">
        <v>600</v>
      </c>
      <c r="C2" s="285" t="s">
        <v>319</v>
      </c>
      <c r="D2" s="292">
        <f>SUM(Table_35456781011141516171819202122232427282930313233343536373839404365[[#This Row],[Fixe]:[Retraite ]])</f>
        <v>3730992</v>
      </c>
      <c r="E2" s="241">
        <v>1000000</v>
      </c>
      <c r="F2" s="241">
        <v>1136000</v>
      </c>
      <c r="G2" s="242"/>
      <c r="H2" s="242">
        <v>1054800</v>
      </c>
      <c r="I2" s="241">
        <v>6192</v>
      </c>
      <c r="J2" s="241">
        <v>534000</v>
      </c>
      <c r="K2" s="58">
        <f>((J11*J7)*F2+(J24*J20)*G2+(J33*J29)*H2)/((J7*F2)+(J20*G2)+(J29*H2))</f>
        <v>0.46668014966123977</v>
      </c>
      <c r="L2" s="59">
        <f>1-K2</f>
        <v>0.53331985033876017</v>
      </c>
      <c r="M2" s="281">
        <f>(J7*F2+J20*G2+J29*H2)
/(F2+G2+H2)</f>
        <v>0.7222201935366076</v>
      </c>
      <c r="N2" s="309">
        <f>(J7*F2+J20*G2+J29*H2)/D2</f>
        <v>0.42408024461054861</v>
      </c>
      <c r="O2" s="310">
        <f>(F2*J10+G2*J23+H2*J32)/D2</f>
        <v>0.27564787059312912</v>
      </c>
      <c r="P2" s="311">
        <f>(J8*F2+J21*G2+J30*H2)/D2</f>
        <v>0.16310943577472156</v>
      </c>
      <c r="Q2" s="62">
        <f>(J9*F2+J22*G2+J31*H2)/D2</f>
        <v>8.851265293519793E-2</v>
      </c>
      <c r="R2" s="62">
        <f>(J13*F2+J26*G2+J35*H2)/(F2+G2+H2)</f>
        <v>8.5831659667701315E-2</v>
      </c>
      <c r="S2" s="62">
        <f>(J13*F2+J26*G2+J35*H2)/D2</f>
        <v>5.0399464807214821E-2</v>
      </c>
    </row>
    <row r="3" spans="1:24" x14ac:dyDescent="0.3">
      <c r="A3" s="63"/>
      <c r="B3" s="63"/>
      <c r="C3" s="31"/>
      <c r="D3" s="233"/>
      <c r="E3" s="233"/>
      <c r="F3" s="233"/>
      <c r="G3" s="233"/>
      <c r="H3" s="233"/>
      <c r="I3" s="233"/>
      <c r="J3" s="233"/>
      <c r="K3" s="63"/>
      <c r="L3" s="63"/>
      <c r="M3" s="63"/>
      <c r="N3" s="63"/>
      <c r="O3" s="63"/>
      <c r="P3" s="63"/>
      <c r="Q3" s="63"/>
    </row>
    <row r="4" spans="1:24" s="100" customFormat="1" x14ac:dyDescent="0.3">
      <c r="A4" s="283"/>
      <c r="B4" s="293"/>
      <c r="C4" s="320"/>
      <c r="D4" s="321"/>
      <c r="E4" s="322"/>
      <c r="F4" s="322"/>
      <c r="G4" s="323"/>
      <c r="H4" s="323"/>
      <c r="I4" s="322"/>
      <c r="J4" s="322"/>
      <c r="K4" s="324"/>
      <c r="L4" s="325"/>
      <c r="M4" s="326"/>
      <c r="N4" s="326"/>
      <c r="O4" s="327"/>
      <c r="P4" s="327"/>
      <c r="Q4" s="328"/>
      <c r="R4" s="328"/>
      <c r="S4" s="328"/>
      <c r="T4" s="79"/>
      <c r="U4" s="79"/>
      <c r="V4" s="79"/>
      <c r="W4" s="79"/>
      <c r="X4" s="79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97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303"/>
      <c r="M6" s="64"/>
      <c r="N6" s="64"/>
      <c r="O6" s="64"/>
      <c r="P6" s="64"/>
      <c r="Q6" s="312"/>
    </row>
    <row r="7" spans="1:24" ht="15" thickBot="1" x14ac:dyDescent="0.35">
      <c r="A7" s="8" t="s">
        <v>189</v>
      </c>
      <c r="B7" s="231" t="s">
        <v>601</v>
      </c>
      <c r="C7" s="313">
        <f>25%*65%</f>
        <v>0.16250000000000001</v>
      </c>
      <c r="D7" s="23" t="s">
        <v>191</v>
      </c>
      <c r="E7" s="23" t="s">
        <v>103</v>
      </c>
      <c r="F7" s="11" t="s">
        <v>225</v>
      </c>
      <c r="G7" s="13"/>
      <c r="H7" s="8"/>
      <c r="I7" s="187" t="s">
        <v>211</v>
      </c>
      <c r="J7" s="264">
        <f>SUMIF(E7:E17,"F",C7:C17)</f>
        <v>0.65</v>
      </c>
      <c r="K7" s="165"/>
      <c r="L7" s="73" t="s">
        <v>470</v>
      </c>
      <c r="M7" s="73"/>
      <c r="N7" s="188"/>
      <c r="O7" s="63"/>
    </row>
    <row r="8" spans="1:24" ht="15" thickBot="1" x14ac:dyDescent="0.35">
      <c r="A8" s="8" t="s">
        <v>192</v>
      </c>
      <c r="B8" s="262" t="s">
        <v>533</v>
      </c>
      <c r="C8" s="313">
        <f>25%*65%</f>
        <v>0.16250000000000001</v>
      </c>
      <c r="D8" s="23" t="s">
        <v>191</v>
      </c>
      <c r="E8" s="23" t="s">
        <v>103</v>
      </c>
      <c r="F8" s="14"/>
      <c r="G8" s="13"/>
      <c r="H8" s="8"/>
      <c r="I8" s="187" t="s">
        <v>212</v>
      </c>
      <c r="J8" s="264">
        <f>SUMIF(E7:E17,"NF",C7:C17)</f>
        <v>0.35</v>
      </c>
      <c r="K8" s="165"/>
      <c r="M8" s="83"/>
      <c r="O8" s="63"/>
    </row>
    <row r="9" spans="1:24" ht="15" thickBot="1" x14ac:dyDescent="0.35">
      <c r="A9" s="8" t="s">
        <v>194</v>
      </c>
      <c r="B9" s="262" t="s">
        <v>279</v>
      </c>
      <c r="C9" s="313">
        <f>25%*65%</f>
        <v>0.16250000000000001</v>
      </c>
      <c r="D9" s="23" t="s">
        <v>191</v>
      </c>
      <c r="E9" s="23" t="s">
        <v>103</v>
      </c>
      <c r="F9" s="11"/>
      <c r="G9" s="16"/>
      <c r="H9" s="8"/>
      <c r="I9" s="187" t="s">
        <v>213</v>
      </c>
      <c r="J9" s="264">
        <f>SUMIFS(C7:C17,E7:E17,"NF",G7:G17,"OUI")</f>
        <v>0.105</v>
      </c>
      <c r="K9" s="165"/>
      <c r="L9" s="165"/>
      <c r="M9" s="165"/>
      <c r="O9" s="63"/>
    </row>
    <row r="10" spans="1:24" ht="15" thickBot="1" x14ac:dyDescent="0.35">
      <c r="A10" s="8" t="s">
        <v>198</v>
      </c>
      <c r="B10" s="262" t="s">
        <v>602</v>
      </c>
      <c r="C10" s="313">
        <f>25%*65%</f>
        <v>0.16250000000000001</v>
      </c>
      <c r="D10" s="23" t="s">
        <v>191</v>
      </c>
      <c r="E10" s="23" t="s">
        <v>103</v>
      </c>
      <c r="F10" s="11"/>
      <c r="G10" s="16"/>
      <c r="H10" s="8"/>
      <c r="I10" s="187" t="s">
        <v>214</v>
      </c>
      <c r="J10" s="264">
        <f>SUMIFS(C7:C17,E7:E17,"F",F7:F17,"oui")</f>
        <v>0.16250000000000001</v>
      </c>
      <c r="K10" s="165"/>
      <c r="L10" s="165"/>
      <c r="M10" s="165"/>
      <c r="O10" s="63"/>
    </row>
    <row r="11" spans="1:24" ht="15" thickBot="1" x14ac:dyDescent="0.35">
      <c r="A11" s="8" t="s">
        <v>200</v>
      </c>
      <c r="B11" s="262" t="s">
        <v>603</v>
      </c>
      <c r="C11" s="313">
        <f>35%*35%</f>
        <v>0.12249999999999998</v>
      </c>
      <c r="D11" s="23"/>
      <c r="E11" s="23" t="s">
        <v>197</v>
      </c>
      <c r="F11" s="11"/>
      <c r="G11" s="16"/>
      <c r="H11" s="20"/>
      <c r="I11" s="187" t="s">
        <v>239</v>
      </c>
      <c r="J11" s="264">
        <f>SUMIFS(C7:C17,D7:D17,"CT",E7:E17,"F")/J7</f>
        <v>1</v>
      </c>
      <c r="K11" s="189"/>
      <c r="L11" s="189"/>
      <c r="M11" s="189"/>
      <c r="O11" s="63"/>
    </row>
    <row r="12" spans="1:24" ht="15" thickBot="1" x14ac:dyDescent="0.35">
      <c r="A12" s="8" t="s">
        <v>202</v>
      </c>
      <c r="B12" s="262" t="s">
        <v>604</v>
      </c>
      <c r="C12" s="313">
        <f>35%*35%</f>
        <v>0.12249999999999998</v>
      </c>
      <c r="D12" s="23"/>
      <c r="E12" s="23" t="s">
        <v>197</v>
      </c>
      <c r="F12" s="19"/>
      <c r="G12" s="20"/>
      <c r="H12" s="20"/>
      <c r="I12" s="187" t="s">
        <v>237</v>
      </c>
      <c r="J12" s="264">
        <f>1-J11</f>
        <v>0</v>
      </c>
      <c r="K12" s="63"/>
      <c r="L12" s="63"/>
      <c r="M12" s="63"/>
      <c r="O12" s="63"/>
    </row>
    <row r="13" spans="1:24" ht="15" thickBot="1" x14ac:dyDescent="0.35">
      <c r="A13" s="8" t="s">
        <v>203</v>
      </c>
      <c r="B13" s="93" t="s">
        <v>605</v>
      </c>
      <c r="C13" s="314">
        <f>7.5%*35%</f>
        <v>2.6249999999999999E-2</v>
      </c>
      <c r="D13" s="23"/>
      <c r="E13" s="23" t="s">
        <v>197</v>
      </c>
      <c r="F13" s="19"/>
      <c r="G13" s="236" t="s">
        <v>225</v>
      </c>
      <c r="H13" s="20"/>
      <c r="I13" s="187" t="s">
        <v>687</v>
      </c>
      <c r="J13" s="315">
        <f>(SUMIFS(C7:C17,E7:E17,"NF",H7:H17,"OUI"))</f>
        <v>2.6249999999999999E-2</v>
      </c>
      <c r="K13" s="63"/>
      <c r="L13" s="63"/>
      <c r="M13" s="63"/>
      <c r="O13" s="63"/>
    </row>
    <row r="14" spans="1:24" x14ac:dyDescent="0.3">
      <c r="A14" s="8" t="s">
        <v>204</v>
      </c>
      <c r="B14" s="93" t="s">
        <v>606</v>
      </c>
      <c r="C14" s="314">
        <f>7.5%*35%</f>
        <v>2.6249999999999999E-2</v>
      </c>
      <c r="D14" s="19"/>
      <c r="E14" s="23" t="s">
        <v>197</v>
      </c>
      <c r="F14" s="19"/>
      <c r="G14" s="236" t="s">
        <v>225</v>
      </c>
      <c r="H14" s="20" t="s">
        <v>225</v>
      </c>
      <c r="I14" s="63"/>
      <c r="J14" s="63"/>
      <c r="K14" s="63"/>
      <c r="L14" s="63"/>
      <c r="M14" s="63"/>
      <c r="O14" s="63"/>
    </row>
    <row r="15" spans="1:24" x14ac:dyDescent="0.3">
      <c r="A15" s="8" t="s">
        <v>205</v>
      </c>
      <c r="B15" s="262" t="s">
        <v>607</v>
      </c>
      <c r="C15" s="314">
        <f>7.5%*35%</f>
        <v>2.6249999999999999E-2</v>
      </c>
      <c r="D15" s="23"/>
      <c r="E15" s="23" t="s">
        <v>197</v>
      </c>
      <c r="F15" s="23"/>
      <c r="G15" s="318" t="s">
        <v>225</v>
      </c>
      <c r="H15" s="24"/>
      <c r="I15" s="63"/>
      <c r="J15" s="63"/>
      <c r="K15" s="63"/>
      <c r="L15" s="63"/>
      <c r="M15" s="63"/>
      <c r="O15" s="63"/>
    </row>
    <row r="16" spans="1:24" x14ac:dyDescent="0.3">
      <c r="A16" s="8" t="s">
        <v>206</v>
      </c>
      <c r="B16" s="262" t="s">
        <v>608</v>
      </c>
      <c r="C16" s="314">
        <f>7.5%*35%</f>
        <v>2.6249999999999999E-2</v>
      </c>
      <c r="D16" s="23"/>
      <c r="E16" s="23" t="s">
        <v>197</v>
      </c>
      <c r="F16" s="23"/>
      <c r="G16" s="318" t="s">
        <v>225</v>
      </c>
      <c r="H16" s="24"/>
      <c r="I16" s="86"/>
      <c r="J16" s="63"/>
      <c r="K16" s="63"/>
      <c r="L16" s="63"/>
      <c r="M16" s="63"/>
      <c r="O16" s="63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319"/>
      <c r="H17" s="29"/>
      <c r="I17" s="63"/>
      <c r="J17" s="63"/>
      <c r="K17" s="63"/>
      <c r="L17" s="63"/>
      <c r="M17" s="63"/>
    </row>
    <row r="18" spans="1:17" ht="15" thickBot="1" x14ac:dyDescent="0.35">
      <c r="C18" s="31"/>
      <c r="I18" s="63"/>
      <c r="J18" s="63"/>
      <c r="K18" s="63"/>
      <c r="L18" s="63"/>
      <c r="M18" s="63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187"/>
      <c r="J19" s="187"/>
      <c r="K19" s="63"/>
      <c r="L19" s="63"/>
      <c r="M19" s="63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78"/>
      <c r="D20" s="33"/>
      <c r="E20" s="33"/>
      <c r="F20" s="33"/>
      <c r="G20" s="35"/>
      <c r="H20" s="8"/>
      <c r="I20" s="187" t="s">
        <v>211</v>
      </c>
      <c r="J20" s="45">
        <f>SUMIF(E20:E23,"F",C20:C23)</f>
        <v>0</v>
      </c>
      <c r="K20" s="165"/>
      <c r="L20" s="165"/>
      <c r="M20" s="165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187" t="s">
        <v>212</v>
      </c>
      <c r="J21" s="45">
        <f>SUMIF(E20:E23,"NF",C20:C23)</f>
        <v>0</v>
      </c>
      <c r="K21" s="165"/>
      <c r="L21" s="165"/>
      <c r="M21" s="165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187" t="s">
        <v>213</v>
      </c>
      <c r="J22" s="45">
        <f>SUMIFS(C20:C23,E20:E23,"NF",G20:G23,"OUI")</f>
        <v>0</v>
      </c>
      <c r="K22" s="165"/>
      <c r="L22" s="165"/>
      <c r="M22" s="165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187" t="s">
        <v>214</v>
      </c>
      <c r="J23" s="45">
        <f>SUMIFS(C20:C23,E20:E23,"F",F20:F23,"oui")</f>
        <v>0</v>
      </c>
      <c r="K23" s="165"/>
      <c r="L23" s="63"/>
      <c r="M23" s="63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187" t="s">
        <v>239</v>
      </c>
      <c r="K24" s="165"/>
      <c r="L24" s="63"/>
      <c r="M24" s="63"/>
    </row>
    <row r="25" spans="1:17" ht="15" thickBot="1" x14ac:dyDescent="0.35">
      <c r="I25" s="187" t="s">
        <v>237</v>
      </c>
      <c r="J25" s="45"/>
      <c r="K25" s="165"/>
      <c r="L25" s="63"/>
      <c r="M25" s="63"/>
      <c r="N25" s="64"/>
      <c r="O25" s="64"/>
      <c r="P25" s="64"/>
      <c r="Q25" s="64"/>
    </row>
    <row r="26" spans="1:17" ht="15" thickBot="1" x14ac:dyDescent="0.35">
      <c r="I26" s="187" t="s">
        <v>224</v>
      </c>
      <c r="K26" s="165"/>
      <c r="L26" s="165"/>
      <c r="M26" s="165"/>
    </row>
    <row r="27" spans="1:17" ht="15" thickBot="1" x14ac:dyDescent="0.35">
      <c r="K27" s="165"/>
      <c r="L27" s="165"/>
      <c r="M27" s="165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187"/>
      <c r="J28" s="187"/>
      <c r="K28" s="165"/>
      <c r="L28" s="165"/>
      <c r="M28" s="165"/>
    </row>
    <row r="29" spans="1:17" ht="15" thickBot="1" x14ac:dyDescent="0.35">
      <c r="A29" s="8" t="s">
        <v>189</v>
      </c>
      <c r="B29" s="17" t="s">
        <v>601</v>
      </c>
      <c r="C29" s="272">
        <v>0.25</v>
      </c>
      <c r="D29" s="33" t="s">
        <v>237</v>
      </c>
      <c r="E29" s="33" t="s">
        <v>103</v>
      </c>
      <c r="F29" s="33" t="s">
        <v>225</v>
      </c>
      <c r="G29" s="35"/>
      <c r="H29" s="8"/>
      <c r="I29" s="187" t="s">
        <v>211</v>
      </c>
      <c r="J29" s="264">
        <f>SUMIF(E29:E34,"F",C29:C34)</f>
        <v>0.8</v>
      </c>
      <c r="K29" s="231"/>
      <c r="L29" s="165"/>
      <c r="M29" s="165"/>
    </row>
    <row r="30" spans="1:17" ht="15" thickBot="1" x14ac:dyDescent="0.35">
      <c r="A30" s="8" t="s">
        <v>192</v>
      </c>
      <c r="B30" s="17" t="s">
        <v>388</v>
      </c>
      <c r="C30" s="272">
        <v>0.3</v>
      </c>
      <c r="D30" s="33" t="s">
        <v>237</v>
      </c>
      <c r="E30" s="33" t="s">
        <v>103</v>
      </c>
      <c r="F30" s="33" t="s">
        <v>225</v>
      </c>
      <c r="G30" s="35"/>
      <c r="H30" s="8"/>
      <c r="I30" s="187" t="s">
        <v>212</v>
      </c>
      <c r="J30" s="264">
        <f>SUMIF(E29:E34,"NF",C29:C34)</f>
        <v>0.2</v>
      </c>
      <c r="K30" s="231"/>
      <c r="L30" s="165"/>
      <c r="M30" s="165"/>
    </row>
    <row r="31" spans="1:17" ht="15" thickBot="1" x14ac:dyDescent="0.35">
      <c r="A31" s="8" t="s">
        <v>194</v>
      </c>
      <c r="B31" s="17" t="s">
        <v>408</v>
      </c>
      <c r="C31" s="272">
        <v>0.25</v>
      </c>
      <c r="D31" s="33" t="s">
        <v>237</v>
      </c>
      <c r="E31" s="33" t="s">
        <v>103</v>
      </c>
      <c r="F31" s="33" t="s">
        <v>225</v>
      </c>
      <c r="G31" s="35"/>
      <c r="H31" s="8"/>
      <c r="I31" s="187" t="s">
        <v>213</v>
      </c>
      <c r="J31" s="264">
        <f>SUMIFS(C29:C34,E29:E34,"NF",G29:G34,"OUI")</f>
        <v>0.2</v>
      </c>
      <c r="K31" s="231"/>
      <c r="L31" s="165"/>
      <c r="M31" s="165"/>
    </row>
    <row r="32" spans="1:17" ht="15" thickBot="1" x14ac:dyDescent="0.35">
      <c r="A32" s="25" t="s">
        <v>198</v>
      </c>
      <c r="B32" s="17" t="s">
        <v>611</v>
      </c>
      <c r="C32" s="272">
        <v>0.1</v>
      </c>
      <c r="D32" s="33"/>
      <c r="E32" s="33" t="s">
        <v>197</v>
      </c>
      <c r="F32" s="33"/>
      <c r="G32" s="35" t="s">
        <v>225</v>
      </c>
      <c r="H32" s="8" t="s">
        <v>225</v>
      </c>
      <c r="I32" s="187" t="s">
        <v>214</v>
      </c>
      <c r="J32" s="264">
        <f>SUMIFS(C29:C34,E29:E34,"F",F29:F34,"oui")</f>
        <v>0.8</v>
      </c>
      <c r="K32" s="231"/>
      <c r="L32" s="165"/>
      <c r="M32" s="165"/>
    </row>
    <row r="33" spans="1:13" ht="15" thickBot="1" x14ac:dyDescent="0.35">
      <c r="A33" s="25" t="s">
        <v>200</v>
      </c>
      <c r="B33" s="26" t="s">
        <v>609</v>
      </c>
      <c r="C33" s="316">
        <v>0.05</v>
      </c>
      <c r="D33" s="38"/>
      <c r="E33" s="38" t="s">
        <v>197</v>
      </c>
      <c r="F33" s="38"/>
      <c r="G33" s="39" t="s">
        <v>225</v>
      </c>
      <c r="H33" s="25" t="s">
        <v>225</v>
      </c>
      <c r="I33" s="187" t="s">
        <v>239</v>
      </c>
      <c r="J33" s="279">
        <f>SUMIFS(C29:C34,D29:D34,"CT",E29:E34,"F")/J29</f>
        <v>0</v>
      </c>
      <c r="K33" s="231"/>
      <c r="L33" s="165"/>
      <c r="M33" s="165"/>
    </row>
    <row r="34" spans="1:13" ht="29.4" thickBot="1" x14ac:dyDescent="0.35">
      <c r="A34" s="25" t="s">
        <v>202</v>
      </c>
      <c r="B34" s="397" t="s">
        <v>610</v>
      </c>
      <c r="C34" s="275">
        <v>0.05</v>
      </c>
      <c r="D34" s="38"/>
      <c r="E34" s="38" t="s">
        <v>197</v>
      </c>
      <c r="F34" s="38"/>
      <c r="G34" s="39" t="s">
        <v>225</v>
      </c>
      <c r="I34" s="187" t="s">
        <v>240</v>
      </c>
      <c r="J34" s="264">
        <f>1-J33</f>
        <v>1</v>
      </c>
      <c r="K34" s="231"/>
    </row>
    <row r="35" spans="1:13" ht="15" thickBot="1" x14ac:dyDescent="0.35">
      <c r="A35" s="165"/>
      <c r="B35" s="165"/>
      <c r="C35" s="165"/>
      <c r="D35" s="165"/>
      <c r="E35" s="165"/>
      <c r="F35" s="165"/>
      <c r="G35" s="165"/>
      <c r="H35" s="165"/>
      <c r="I35" s="187" t="s">
        <v>224</v>
      </c>
      <c r="J35" s="264">
        <f>SUMIFS(C29:C37,E29:E37,"NF",H29:H37,"OUI")</f>
        <v>0.15000000000000002</v>
      </c>
      <c r="K35" s="231"/>
    </row>
    <row r="36" spans="1:13" x14ac:dyDescent="0.3">
      <c r="A36" s="165"/>
      <c r="B36" s="165"/>
      <c r="C36" s="165"/>
      <c r="D36" s="165"/>
      <c r="E36" s="165"/>
      <c r="F36" s="165"/>
      <c r="G36" s="165"/>
      <c r="H36" s="165"/>
      <c r="I36" s="165"/>
      <c r="J36" s="317"/>
      <c r="K36" s="231"/>
    </row>
    <row r="37" spans="1:13" x14ac:dyDescent="0.3">
      <c r="J37" s="231"/>
      <c r="K37" s="231"/>
    </row>
    <row r="38" spans="1:13" x14ac:dyDescent="0.3">
      <c r="J38" s="231"/>
      <c r="K38" s="231"/>
    </row>
    <row r="39" spans="1:13" x14ac:dyDescent="0.3">
      <c r="J39" s="231"/>
      <c r="K39" s="231"/>
    </row>
    <row r="40" spans="1:13" x14ac:dyDescent="0.3">
      <c r="J40" s="231"/>
      <c r="K40" s="231"/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6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677</v>
      </c>
      <c r="B2" s="52" t="s">
        <v>708</v>
      </c>
      <c r="C2" s="53" t="s">
        <v>220</v>
      </c>
      <c r="D2" s="54">
        <f>SUM(Table_35456785[[#This Row],[Fixe]:[Retraite ]])</f>
        <v>7496074</v>
      </c>
      <c r="E2" s="55">
        <v>1500000</v>
      </c>
      <c r="F2" s="55">
        <v>2437500</v>
      </c>
      <c r="G2" s="56"/>
      <c r="H2" s="55">
        <v>3430000</v>
      </c>
      <c r="I2" s="55">
        <v>100000</v>
      </c>
      <c r="J2" s="57">
        <v>28574</v>
      </c>
      <c r="K2" s="58">
        <f>((J11*J7)*F2+(J24*J20)*G2+(J33*J29)*H2)/((J7*F2)+(J20*G2)+(J29*H2))</f>
        <v>0.3467437208268504</v>
      </c>
      <c r="L2" s="59">
        <f>1-K2</f>
        <v>0.65325627917314955</v>
      </c>
      <c r="M2" s="59">
        <f>(J7*F2+J20*G2+J29*H2)
/(F2+G2+H2)</f>
        <v>0.95845760545377079</v>
      </c>
      <c r="N2" s="60">
        <f>(J7*F2+J20*G2+J29*H2)/D2</f>
        <v>0.75022605166384426</v>
      </c>
      <c r="O2" s="61">
        <f>(F2*J10+G2*J23+H2*J32)/D2</f>
        <v>0.58764094377937037</v>
      </c>
      <c r="P2" s="62">
        <f>(J8*F2+J21*G2+J30*H2)/D2</f>
        <v>3.2517021576894782E-2</v>
      </c>
      <c r="Q2" s="62">
        <f>(J9*F2+J22*G2+J31*H2)/D2</f>
        <v>3.2517021576894782E-2</v>
      </c>
      <c r="R2" s="62">
        <f>(J13*F2+J26*G2+J35*H2)/(F2+G2+H2)</f>
        <v>0</v>
      </c>
      <c r="S2" s="62">
        <f>(J13*F2+J26*G2+J35*H2)/D2</f>
        <v>0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72" t="s">
        <v>270</v>
      </c>
      <c r="C7" s="10">
        <v>0.4</v>
      </c>
      <c r="D7" s="11" t="s">
        <v>191</v>
      </c>
      <c r="E7" s="11" t="s">
        <v>103</v>
      </c>
      <c r="F7" s="12" t="s">
        <v>225</v>
      </c>
      <c r="G7" s="13"/>
      <c r="H7" s="8"/>
      <c r="I7" s="44" t="s">
        <v>211</v>
      </c>
      <c r="J7" s="45">
        <f>SUMIF(E7:E17,"F",C7:C17)</f>
        <v>0.9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72" t="s">
        <v>271</v>
      </c>
      <c r="C8" s="10">
        <v>0.2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0.1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72" t="s">
        <v>272</v>
      </c>
      <c r="C9" s="10">
        <v>0.2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t="s">
        <v>273</v>
      </c>
      <c r="C10" s="10">
        <v>0.1</v>
      </c>
      <c r="D10" s="11" t="s">
        <v>196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0.4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t="s">
        <v>274</v>
      </c>
      <c r="C11" s="10">
        <v>0.1</v>
      </c>
      <c r="D11" s="11" t="s">
        <v>191</v>
      </c>
      <c r="E11" s="11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0.88888888888888895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72"/>
      <c r="C12" s="18"/>
      <c r="D12" s="19"/>
      <c r="E12" s="19"/>
      <c r="F12" s="19"/>
      <c r="G12" s="20"/>
      <c r="H12" s="20"/>
      <c r="I12" s="44" t="s">
        <v>237</v>
      </c>
      <c r="J12" s="45">
        <f>1-J11</f>
        <v>0.11111111111111105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8"/>
      <c r="C13" s="18"/>
      <c r="D13" s="19"/>
      <c r="E13" s="19"/>
      <c r="F13" s="19"/>
      <c r="G13" s="20"/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8"/>
      <c r="C14" s="1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8"/>
      <c r="C15" s="22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36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9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6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4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209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75" t="s">
        <v>275</v>
      </c>
      <c r="C29" s="76">
        <v>1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1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33"/>
      <c r="C30" s="33"/>
      <c r="D30" s="11"/>
      <c r="E30" s="11"/>
      <c r="F30" s="12"/>
      <c r="G30" s="16"/>
      <c r="H30" s="8"/>
      <c r="I30" s="44" t="s">
        <v>212</v>
      </c>
      <c r="J30" s="45">
        <f>SUMIF(E29:E32,"NF",C29:C32)</f>
        <v>0</v>
      </c>
      <c r="K30" s="65"/>
      <c r="L30" s="65"/>
      <c r="M30" s="65"/>
    </row>
    <row r="31" spans="1:17" ht="15" thickBot="1" x14ac:dyDescent="0.35">
      <c r="A31" s="8" t="s">
        <v>194</v>
      </c>
      <c r="B31" s="33"/>
      <c r="C31" s="33"/>
      <c r="D31" s="33"/>
      <c r="E31" s="33"/>
      <c r="F31" s="34"/>
      <c r="G31" s="35"/>
      <c r="H31" s="8"/>
      <c r="I31" s="44" t="s">
        <v>213</v>
      </c>
      <c r="J31" s="45">
        <f>SUMIFS(C29:C32,E29:E32,"NF",G29:G32,"OUI")</f>
        <v>0</v>
      </c>
      <c r="K31" s="65"/>
      <c r="L31" s="65"/>
      <c r="M31" s="65"/>
    </row>
    <row r="32" spans="1:17" ht="15" thickBot="1" x14ac:dyDescent="0.35">
      <c r="A32" s="25" t="s">
        <v>198</v>
      </c>
      <c r="B32" s="38"/>
      <c r="C32" s="38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1</v>
      </c>
      <c r="K32" s="65"/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25"/>
      <c r="I33" s="44" t="s">
        <v>239</v>
      </c>
      <c r="J33" s="70">
        <f>SUMIFS(C29:C32,D29:D32,"CT",E29:E32,"F")/J29</f>
        <v>0</v>
      </c>
      <c r="K33" s="65"/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5" workbookViewId="0">
      <selection activeCell="R2" sqref="R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612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7.6" x14ac:dyDescent="0.3">
      <c r="A2" s="51" t="s">
        <v>632</v>
      </c>
      <c r="B2" s="52" t="s">
        <v>55</v>
      </c>
      <c r="C2" s="53" t="s">
        <v>220</v>
      </c>
      <c r="D2" s="54">
        <f>SUM(Table_354567810111415161718192021222324272829303132333435363738394041456[[#This Row],[Fixe]:[Retraite ]])</f>
        <v>1275400</v>
      </c>
      <c r="E2" s="55">
        <v>1252000</v>
      </c>
      <c r="F2" s="55"/>
      <c r="G2" s="56"/>
      <c r="H2" s="56"/>
      <c r="I2" s="55">
        <v>11400</v>
      </c>
      <c r="J2" s="55">
        <v>12000</v>
      </c>
      <c r="K2" s="329"/>
      <c r="L2" s="59"/>
      <c r="M2" s="59" t="e">
        <f>(J7*F2+J20*G2+J29*H2)
/(F2+G2+H2)</f>
        <v>#DIV/0!</v>
      </c>
      <c r="N2" s="92">
        <f>(J7*F2+J20*G2+J29*H2)/D2</f>
        <v>0</v>
      </c>
      <c r="O2" s="61">
        <f>(F2*J10+G2*J23+H2*J32)/D2</f>
        <v>0</v>
      </c>
      <c r="P2" s="62">
        <f>(J8*F2+J21*G2+J30*H2)/D2</f>
        <v>0</v>
      </c>
      <c r="Q2" s="62">
        <f>(J9*F2+J22*G2+J31*H2)/D2</f>
        <v>0</v>
      </c>
      <c r="R2" s="62" t="e">
        <f>(J13*F2+J26*G2+J35*H2)/(F2+G2+H2)</f>
        <v>#DIV/0!</v>
      </c>
      <c r="S2" s="62">
        <f>(J13*F2+J26*G2+J35*H2)/D2</f>
        <v>0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C7" s="87"/>
      <c r="D7" s="23"/>
      <c r="E7" s="23"/>
      <c r="F7" s="12"/>
      <c r="G7" s="13"/>
      <c r="H7" s="8"/>
      <c r="I7" s="44" t="s">
        <v>211</v>
      </c>
      <c r="J7" s="45">
        <f>SUMIF(E7:E17,"F",C7:C17)</f>
        <v>0</v>
      </c>
      <c r="K7" s="65"/>
      <c r="L7" s="73" t="s">
        <v>470</v>
      </c>
      <c r="M7" s="99"/>
      <c r="N7" s="74"/>
      <c r="O7" s="63"/>
      <c r="P7" s="30"/>
      <c r="Q7" s="30"/>
    </row>
    <row r="8" spans="1:24" ht="15" thickBot="1" x14ac:dyDescent="0.35">
      <c r="A8" s="8" t="s">
        <v>192</v>
      </c>
      <c r="B8" s="89"/>
      <c r="C8" s="87"/>
      <c r="D8" s="23"/>
      <c r="E8" s="23"/>
      <c r="F8" s="14"/>
      <c r="G8" s="13"/>
      <c r="H8" s="8"/>
      <c r="I8" s="44" t="s">
        <v>212</v>
      </c>
      <c r="J8" s="45">
        <f>SUMIF(E7:E17,"NF",C7:C17)</f>
        <v>0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/>
      <c r="C9" s="87"/>
      <c r="D9" s="23"/>
      <c r="E9" s="23"/>
      <c r="F9" s="11"/>
      <c r="G9" s="16"/>
      <c r="H9" s="8"/>
      <c r="I9" s="44" t="s">
        <v>213</v>
      </c>
      <c r="J9" s="45">
        <f>SUMIFS(C7:C17,E7:E17,"NF",G7:G17,"OUI")</f>
        <v>0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/>
      <c r="C10" s="87"/>
      <c r="D10" s="23"/>
      <c r="E10" s="23"/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/>
      <c r="C11" s="87"/>
      <c r="D11" s="23"/>
      <c r="E11" s="23"/>
      <c r="F11" s="11"/>
      <c r="G11" s="16"/>
      <c r="H11" s="20"/>
      <c r="I11" s="44" t="s">
        <v>239</v>
      </c>
      <c r="J11" s="45"/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/>
      <c r="C12" s="88"/>
      <c r="D12" s="23"/>
      <c r="E12" s="23"/>
      <c r="F12" s="19"/>
      <c r="G12" s="20"/>
      <c r="H12" s="20"/>
      <c r="I12" s="44" t="s">
        <v>237</v>
      </c>
      <c r="J12" s="45"/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/>
      <c r="C13" s="88"/>
      <c r="D13" s="23"/>
      <c r="E13" s="23"/>
      <c r="F13" s="19"/>
      <c r="G13" s="20"/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88"/>
      <c r="D14" s="19"/>
      <c r="E14" s="23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612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J24" s="94"/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/>
      <c r="C29" s="78"/>
      <c r="D29" s="33"/>
      <c r="E29" s="33"/>
      <c r="F29" s="34"/>
      <c r="G29" s="35"/>
      <c r="H29" s="8"/>
      <c r="I29" s="44" t="s">
        <v>211</v>
      </c>
      <c r="J29" s="45">
        <f>SUMIF(E29:E33,"F",C29:C33)</f>
        <v>0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/>
      <c r="C30" s="78"/>
      <c r="D30" s="33"/>
      <c r="E30" s="33"/>
      <c r="F30" s="33"/>
      <c r="G30" s="35"/>
      <c r="H30" s="8"/>
      <c r="I30" s="44" t="s">
        <v>212</v>
      </c>
      <c r="J30" s="45">
        <f>SUMIF(E29:E33,"NF",C29:C33)</f>
        <v>0</v>
      </c>
      <c r="L30" s="65"/>
      <c r="M30" s="65"/>
    </row>
    <row r="31" spans="1:17" ht="15" thickBot="1" x14ac:dyDescent="0.35">
      <c r="A31" s="8" t="s">
        <v>194</v>
      </c>
      <c r="B31" s="17"/>
      <c r="C31" s="78"/>
      <c r="D31" s="33"/>
      <c r="E31" s="33"/>
      <c r="F31" s="33"/>
      <c r="G31" s="35"/>
      <c r="H31" s="8"/>
      <c r="I31" s="44" t="s">
        <v>213</v>
      </c>
      <c r="J31" s="45">
        <f>SUMIFS(C29:C33,E29:E33,"NF",G29:G33,"OUI")</f>
        <v>0</v>
      </c>
      <c r="L31" s="65"/>
      <c r="M31" s="65"/>
    </row>
    <row r="32" spans="1:17" ht="15" thickBot="1" x14ac:dyDescent="0.35">
      <c r="A32" s="8" t="s">
        <v>198</v>
      </c>
      <c r="B32" s="17"/>
      <c r="C32" s="78"/>
      <c r="D32" s="33"/>
      <c r="E32" s="33"/>
      <c r="F32" s="33"/>
      <c r="G32" s="35"/>
      <c r="H32" s="8"/>
      <c r="I32" s="44" t="s">
        <v>214</v>
      </c>
      <c r="J32" s="45">
        <f>SUMIFS(C29:C33,E29:E33,"F",F29:F33,"oui")</f>
        <v>0</v>
      </c>
      <c r="L32" s="65"/>
      <c r="M32" s="65"/>
    </row>
    <row r="33" spans="1:13" ht="15" thickBot="1" x14ac:dyDescent="0.35">
      <c r="A33" s="8" t="s">
        <v>200</v>
      </c>
      <c r="B33" s="17"/>
      <c r="C33" s="78"/>
      <c r="D33" s="33"/>
      <c r="E33" s="33"/>
      <c r="F33" s="33"/>
      <c r="G33" s="35"/>
      <c r="H33" s="25"/>
      <c r="I33" s="44" t="s">
        <v>239</v>
      </c>
      <c r="J33" s="70"/>
      <c r="L33" s="65"/>
      <c r="M33" s="65"/>
    </row>
    <row r="34" spans="1:13" ht="15" thickBot="1" x14ac:dyDescent="0.35">
      <c r="A34" s="25" t="s">
        <v>202</v>
      </c>
      <c r="B34" s="26"/>
      <c r="C34" s="91"/>
      <c r="D34" s="38"/>
      <c r="E34" s="38"/>
      <c r="F34" s="38"/>
      <c r="G34" s="39"/>
      <c r="I34" s="44" t="s">
        <v>240</v>
      </c>
      <c r="J34" s="45"/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6" zoomScaleNormal="85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x14ac:dyDescent="0.3">
      <c r="A2" s="51" t="s">
        <v>529</v>
      </c>
      <c r="B2" s="52" t="s">
        <v>530</v>
      </c>
      <c r="C2" s="53" t="s">
        <v>220</v>
      </c>
      <c r="D2" s="54">
        <f>SUM(Table_354567810111415161718192021222324272829303132338[[#This Row],[Fixe]:[Retraite ]])</f>
        <v>5002692</v>
      </c>
      <c r="E2" s="55">
        <v>2301950</v>
      </c>
      <c r="F2" s="55">
        <v>2700742</v>
      </c>
      <c r="G2" s="56"/>
      <c r="H2" s="56"/>
      <c r="I2" s="55"/>
      <c r="J2" s="55"/>
      <c r="K2" s="58">
        <f>((J11*J7)*F2+(J24*J20)*G2+(J33*J29)*H2)/((J7*F2)+(J20*G2)+(J29*H2))</f>
        <v>1</v>
      </c>
      <c r="L2" s="59">
        <f>1-K2</f>
        <v>0</v>
      </c>
      <c r="M2" s="59">
        <f>(J7*F2+J20*G2+J29*H2)
/(F2+G2+H2)</f>
        <v>0.90000000000000013</v>
      </c>
      <c r="N2" s="60">
        <f>(J7*F2+J20*G2+J29*H2)/D2</f>
        <v>0.48587196653321857</v>
      </c>
      <c r="O2" s="61">
        <f>(F2*J10+G2*J23+H2*J32)/D2</f>
        <v>0</v>
      </c>
      <c r="P2" s="62">
        <f>(J8*F2+J21*G2+J30*H2)/D2</f>
        <v>5.3985774059246504E-2</v>
      </c>
      <c r="Q2" s="62">
        <f>(J9*F2+J22*G2+J31*H2)/D2</f>
        <v>0</v>
      </c>
      <c r="R2" s="62">
        <f>(J13*F2+J26*G2+J35*H2)/(F2+G2+H2)</f>
        <v>0.1</v>
      </c>
      <c r="S2" s="62">
        <f>(J13*F2+J26*G2+J35*H2)/D2</f>
        <v>5.3985774059246504E-2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531</v>
      </c>
      <c r="C7" s="87">
        <v>0.9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0.9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284</v>
      </c>
      <c r="C8" s="87">
        <v>0.1</v>
      </c>
      <c r="D8" s="23"/>
      <c r="E8" s="11" t="s">
        <v>197</v>
      </c>
      <c r="F8" s="14"/>
      <c r="G8" s="13"/>
      <c r="H8" s="8" t="s">
        <v>225</v>
      </c>
      <c r="I8" s="44" t="s">
        <v>212</v>
      </c>
      <c r="J8" s="45">
        <f>SUMIF(E7:E17,"NF",C7:C17)</f>
        <v>0.1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/>
      <c r="C9" s="87"/>
      <c r="D9" s="23"/>
      <c r="E9" s="11"/>
      <c r="F9" s="11"/>
      <c r="G9" s="16"/>
      <c r="H9" s="8"/>
      <c r="I9" s="44" t="s">
        <v>213</v>
      </c>
      <c r="J9" s="45">
        <f>SUMIFS(C7:C17,E7:E17,"NF",G7:G17,"OUI")</f>
        <v>0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/>
      <c r="C10" s="87"/>
      <c r="D10" s="23"/>
      <c r="E10" s="11"/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/>
      <c r="C11" s="87"/>
      <c r="D11" s="23"/>
      <c r="E11" s="11"/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/>
      <c r="C12" s="88"/>
      <c r="D12" s="23"/>
      <c r="E12" s="19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/>
      <c r="C13" s="87"/>
      <c r="D13" s="23"/>
      <c r="E13" s="19"/>
      <c r="F13" s="19"/>
      <c r="G13" s="20"/>
      <c r="H13" s="20"/>
      <c r="I13" s="44" t="s">
        <v>687</v>
      </c>
      <c r="J13" s="45">
        <f>(SUMIFS(C7:C17,E7:E17,"NF",H7:H17,"OUI"))</f>
        <v>0.1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8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/>
      <c r="C29" s="78"/>
      <c r="D29" s="33"/>
      <c r="E29" s="33"/>
      <c r="F29" s="34"/>
      <c r="G29" s="35"/>
      <c r="H29" s="8"/>
      <c r="I29" s="44" t="s">
        <v>211</v>
      </c>
      <c r="J29" s="45">
        <f>SUMIF(E29:E33,"F",C29:C33)</f>
        <v>0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/>
      <c r="C30" s="78"/>
      <c r="D30" s="33"/>
      <c r="E30" s="33"/>
      <c r="F30" s="33"/>
      <c r="G30" s="35"/>
      <c r="H30" s="8"/>
      <c r="I30" s="44" t="s">
        <v>212</v>
      </c>
      <c r="J30" s="45">
        <f>SUMIF(E29:E33,"NF",C29:C33)</f>
        <v>0</v>
      </c>
      <c r="L30" s="65"/>
      <c r="M30" s="65"/>
    </row>
    <row r="31" spans="1:17" ht="15" thickBot="1" x14ac:dyDescent="0.35">
      <c r="A31" s="8" t="s">
        <v>194</v>
      </c>
      <c r="B31" s="17"/>
      <c r="C31" s="78"/>
      <c r="D31" s="33"/>
      <c r="E31" s="33"/>
      <c r="F31" s="33"/>
      <c r="G31" s="35"/>
      <c r="H31" s="8"/>
      <c r="I31" s="44" t="s">
        <v>213</v>
      </c>
      <c r="J31" s="45">
        <f>SUMIFS(C29:C33,E29:E33,"NF",G29:G33,"OUI")</f>
        <v>0</v>
      </c>
      <c r="L31" s="65"/>
      <c r="M31" s="65"/>
    </row>
    <row r="32" spans="1:17" ht="15" thickBot="1" x14ac:dyDescent="0.35">
      <c r="A32" s="25" t="s">
        <v>198</v>
      </c>
      <c r="B32" s="17"/>
      <c r="C32" s="78"/>
      <c r="D32" s="33"/>
      <c r="E32" s="33"/>
      <c r="F32" s="33"/>
      <c r="G32" s="35"/>
      <c r="H32" s="8"/>
      <c r="I32" s="44" t="s">
        <v>214</v>
      </c>
      <c r="J32" s="45">
        <f>SUMIFS(C29:C33,E29:E33,"F",F29:F33,"oui")</f>
        <v>0</v>
      </c>
      <c r="L32" s="65"/>
      <c r="M32" s="65"/>
    </row>
    <row r="33" spans="1:13" ht="15" thickBot="1" x14ac:dyDescent="0.35">
      <c r="A33" s="25" t="s">
        <v>200</v>
      </c>
      <c r="B33" s="26"/>
      <c r="C33" s="91"/>
      <c r="D33" s="38"/>
      <c r="E33" s="38"/>
      <c r="F33" s="38"/>
      <c r="G33" s="39"/>
      <c r="H33" s="25"/>
      <c r="I33" s="44" t="s">
        <v>239</v>
      </c>
      <c r="J33" s="90"/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I34" s="44" t="s">
        <v>240</v>
      </c>
      <c r="J34" s="45"/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topLeftCell="H5" zoomScale="64" zoomScaleNormal="68" workbookViewId="0">
      <selection activeCell="W33" sqref="W33"/>
    </sheetView>
  </sheetViews>
  <sheetFormatPr baseColWidth="10" defaultRowHeight="14.4" x14ac:dyDescent="0.3"/>
  <cols>
    <col min="3" max="4" width="11.88671875" bestFit="1" customWidth="1"/>
    <col min="5" max="5" width="26.6640625" bestFit="1" customWidth="1"/>
    <col min="8" max="9" width="28.44140625" bestFit="1" customWidth="1"/>
    <col min="10" max="10" width="24.88671875" bestFit="1" customWidth="1"/>
    <col min="11" max="11" width="24.44140625" bestFit="1" customWidth="1"/>
    <col min="14" max="14" width="8" customWidth="1"/>
    <col min="15" max="15" width="22.88671875" style="2" bestFit="1" customWidth="1"/>
    <col min="16" max="18" width="20.6640625" style="2" customWidth="1"/>
    <col min="19" max="19" width="27.6640625" style="2" bestFit="1" customWidth="1"/>
    <col min="20" max="20" width="20.6640625" style="2" customWidth="1"/>
    <col min="21" max="21" width="19.5546875" bestFit="1" customWidth="1"/>
    <col min="22" max="22" width="20.44140625" style="2" customWidth="1"/>
    <col min="23" max="23" width="46.44140625" bestFit="1" customWidth="1"/>
    <col min="24" max="16384" width="11.5546875" style="231"/>
  </cols>
  <sheetData>
    <row r="1" spans="1:25" x14ac:dyDescent="0.3">
      <c r="A1" t="s">
        <v>0</v>
      </c>
      <c r="B1" t="s">
        <v>59</v>
      </c>
      <c r="C1" t="s">
        <v>23</v>
      </c>
      <c r="D1" t="s">
        <v>672</v>
      </c>
      <c r="E1" t="s">
        <v>2</v>
      </c>
      <c r="F1" t="s">
        <v>10</v>
      </c>
      <c r="G1" t="s">
        <v>674</v>
      </c>
      <c r="H1" t="s">
        <v>24</v>
      </c>
      <c r="I1" t="s">
        <v>25</v>
      </c>
      <c r="J1" t="s">
        <v>26</v>
      </c>
      <c r="K1" t="s">
        <v>27</v>
      </c>
      <c r="L1" t="s">
        <v>62</v>
      </c>
      <c r="M1" t="s">
        <v>69</v>
      </c>
      <c r="N1" t="s">
        <v>63</v>
      </c>
      <c r="O1" s="2" t="s">
        <v>28</v>
      </c>
      <c r="P1" s="71" t="s">
        <v>744</v>
      </c>
      <c r="Q1" s="71" t="s">
        <v>745</v>
      </c>
      <c r="R1" s="71" t="s">
        <v>746</v>
      </c>
      <c r="S1" s="71" t="s">
        <v>747</v>
      </c>
      <c r="T1" s="71" t="s">
        <v>748</v>
      </c>
      <c r="U1" s="71" t="s">
        <v>749</v>
      </c>
      <c r="V1" s="1" t="s">
        <v>30</v>
      </c>
      <c r="W1" s="1" t="s">
        <v>751</v>
      </c>
    </row>
    <row r="2" spans="1:25" x14ac:dyDescent="0.3">
      <c r="A2" s="231" t="s">
        <v>44</v>
      </c>
      <c r="B2" s="231" t="s">
        <v>60</v>
      </c>
      <c r="C2" s="231">
        <v>2022</v>
      </c>
      <c r="D2" s="351" t="s">
        <v>673</v>
      </c>
      <c r="E2" s="231">
        <v>1601000000</v>
      </c>
      <c r="F2" s="352" t="s">
        <v>126</v>
      </c>
      <c r="G2" s="231" t="s">
        <v>675</v>
      </c>
      <c r="H2" s="231">
        <v>2759000000</v>
      </c>
      <c r="I2" s="231">
        <v>4963400000</v>
      </c>
      <c r="J2" s="231">
        <v>67109</v>
      </c>
      <c r="K2" s="231">
        <f t="shared" ref="K2:K41" si="0">I2/J2</f>
        <v>73960.273584765077</v>
      </c>
      <c r="L2" s="231" t="s">
        <v>71</v>
      </c>
      <c r="M2" s="231" t="s">
        <v>125</v>
      </c>
      <c r="N2" s="231" t="s">
        <v>64</v>
      </c>
      <c r="O2" s="353">
        <v>4002594</v>
      </c>
      <c r="P2" s="357">
        <v>1193750</v>
      </c>
      <c r="Q2" s="357">
        <v>1834429</v>
      </c>
      <c r="R2" s="358"/>
      <c r="S2" s="358">
        <v>961965</v>
      </c>
      <c r="T2" s="357">
        <v>12450</v>
      </c>
      <c r="U2" s="357"/>
      <c r="V2" s="355">
        <f>Tableau1[[#This Row],[CEO_remuneration]]/Tableau1[[#This Row],[average_remuneration]]</f>
        <v>54.118161088366854</v>
      </c>
      <c r="W2" s="340">
        <f>Tableau1[[#This Row],[Dividends+Buybacks]]/Tableau1[[#This Row],[net_profit]]</f>
        <v>0.58028271112721996</v>
      </c>
    </row>
    <row r="3" spans="1:25" x14ac:dyDescent="0.3">
      <c r="A3" s="231" t="s">
        <v>45</v>
      </c>
      <c r="B3" s="231" t="s">
        <v>60</v>
      </c>
      <c r="C3" s="231">
        <v>2022</v>
      </c>
      <c r="D3" s="351" t="s">
        <v>673</v>
      </c>
      <c r="E3" s="231">
        <v>1217000000</v>
      </c>
      <c r="F3" s="352" t="s">
        <v>127</v>
      </c>
      <c r="G3" s="231" t="s">
        <v>675</v>
      </c>
      <c r="H3" s="231">
        <v>4247000000</v>
      </c>
      <c r="I3" s="231">
        <v>13645000000</v>
      </c>
      <c r="J3" s="231">
        <v>134267</v>
      </c>
      <c r="K3" s="231">
        <f t="shared" si="0"/>
        <v>101625.8648811696</v>
      </c>
      <c r="L3" s="231" t="s">
        <v>128</v>
      </c>
      <c r="M3" s="231" t="s">
        <v>129</v>
      </c>
      <c r="N3" s="231" t="s">
        <v>64</v>
      </c>
      <c r="O3" s="353">
        <v>5011773</v>
      </c>
      <c r="P3" s="354"/>
      <c r="Q3" s="354"/>
      <c r="R3" s="354"/>
      <c r="S3" s="354"/>
      <c r="T3" s="354"/>
      <c r="U3" s="354"/>
      <c r="V3" s="355">
        <f>Tableau1[[#This Row],[CEO_remuneration]]/Tableau1[[#This Row],[average_remuneration]]</f>
        <v>49.315919779479664</v>
      </c>
      <c r="W3" s="340">
        <f>Tableau1[[#This Row],[Dividends+Buybacks]]/Tableau1[[#This Row],[net_profit]]</f>
        <v>0.28655521544619733</v>
      </c>
      <c r="Y3" s="340"/>
    </row>
    <row r="4" spans="1:25" x14ac:dyDescent="0.3">
      <c r="A4" s="231" t="s">
        <v>56</v>
      </c>
      <c r="B4" s="231" t="s">
        <v>60</v>
      </c>
      <c r="C4" s="231">
        <v>2022</v>
      </c>
      <c r="D4" s="351" t="s">
        <v>673</v>
      </c>
      <c r="E4" s="231">
        <v>42000000</v>
      </c>
      <c r="F4" s="352" t="s">
        <v>166</v>
      </c>
      <c r="G4" s="231" t="s">
        <v>675</v>
      </c>
      <c r="H4" s="231">
        <v>-132000000</v>
      </c>
      <c r="I4" s="231">
        <v>5709000000</v>
      </c>
      <c r="J4" s="231">
        <v>80183</v>
      </c>
      <c r="K4" s="231">
        <f t="shared" si="0"/>
        <v>71199.630844443338</v>
      </c>
      <c r="L4" s="231" t="s">
        <v>164</v>
      </c>
      <c r="M4" s="231" t="s">
        <v>165</v>
      </c>
      <c r="N4" s="231" t="s">
        <v>64</v>
      </c>
      <c r="O4" s="353">
        <v>3573244</v>
      </c>
      <c r="P4" s="353">
        <v>950004</v>
      </c>
      <c r="Q4" s="353">
        <v>1231248</v>
      </c>
      <c r="R4" s="385"/>
      <c r="S4" s="385">
        <v>1376749</v>
      </c>
      <c r="T4" s="353">
        <v>15243</v>
      </c>
      <c r="U4" s="353"/>
      <c r="V4" s="355">
        <f>Tableau1[[#This Row],[CEO_remuneration]]/Tableau1[[#This Row],[average_remuneration]]</f>
        <v>50.186271440182168</v>
      </c>
      <c r="W4" s="340">
        <f>Tableau1[[#This Row],[Dividends+Buybacks]]/Tableau1[[#This Row],[net_profit]]</f>
        <v>-0.31818181818181818</v>
      </c>
    </row>
    <row r="5" spans="1:25" x14ac:dyDescent="0.3">
      <c r="A5" s="231" t="s">
        <v>21</v>
      </c>
      <c r="B5" s="231" t="s">
        <v>60</v>
      </c>
      <c r="C5" s="231">
        <v>2022</v>
      </c>
      <c r="D5" s="351" t="s">
        <v>673</v>
      </c>
      <c r="E5" s="231">
        <v>3008000000</v>
      </c>
      <c r="F5" s="352" t="s">
        <v>154</v>
      </c>
      <c r="G5" s="231" t="s">
        <v>675</v>
      </c>
      <c r="H5" s="231">
        <v>9302000000</v>
      </c>
      <c r="I5" s="231">
        <v>7916000000</v>
      </c>
      <c r="J5" s="231">
        <v>154352</v>
      </c>
      <c r="K5" s="231">
        <f t="shared" si="0"/>
        <v>51285.373691302993</v>
      </c>
      <c r="L5" s="231" t="s">
        <v>152</v>
      </c>
      <c r="M5" s="231" t="s">
        <v>153</v>
      </c>
      <c r="N5" s="231" t="s">
        <v>64</v>
      </c>
      <c r="O5" s="356">
        <v>7821668.7999999998</v>
      </c>
      <c r="P5" s="356">
        <v>1566961</v>
      </c>
      <c r="Q5" s="356">
        <v>3129230.5</v>
      </c>
      <c r="R5" s="356">
        <v>0</v>
      </c>
      <c r="S5" s="356">
        <v>1558516.3</v>
      </c>
      <c r="T5" s="356">
        <v>1566961</v>
      </c>
      <c r="U5" s="356">
        <v>0</v>
      </c>
      <c r="V5" s="355">
        <f>Tableau1[[#This Row],[CEO_remuneration]]/Tableau1[[#This Row],[average_remuneration]]</f>
        <v>152.51266076523498</v>
      </c>
      <c r="W5" s="340">
        <f>Tableau1[[#This Row],[Dividends+Buybacks]]/Tableau1[[#This Row],[net_profit]]</f>
        <v>0.32337131799612989</v>
      </c>
    </row>
    <row r="6" spans="1:25" x14ac:dyDescent="0.3">
      <c r="A6" s="231" t="s">
        <v>38</v>
      </c>
      <c r="B6" s="231" t="s">
        <v>60</v>
      </c>
      <c r="C6" s="231">
        <v>2022</v>
      </c>
      <c r="D6" s="351" t="s">
        <v>673</v>
      </c>
      <c r="E6" s="231">
        <v>3539000000</v>
      </c>
      <c r="F6" s="352" t="s">
        <v>89</v>
      </c>
      <c r="G6" s="231" t="s">
        <v>675</v>
      </c>
      <c r="H6" s="231">
        <v>6675000000</v>
      </c>
      <c r="I6" s="231">
        <v>7424000000</v>
      </c>
      <c r="J6" s="231">
        <v>110302</v>
      </c>
      <c r="K6" s="231">
        <f t="shared" si="0"/>
        <v>67306.123189062753</v>
      </c>
      <c r="L6" s="231" t="s">
        <v>90</v>
      </c>
      <c r="M6" s="231" t="s">
        <v>91</v>
      </c>
      <c r="N6" s="231" t="s">
        <v>64</v>
      </c>
      <c r="O6" s="353">
        <v>5331739</v>
      </c>
      <c r="P6" s="357">
        <v>1585000</v>
      </c>
      <c r="Q6" s="357">
        <v>1282656</v>
      </c>
      <c r="R6" s="358">
        <v>549710</v>
      </c>
      <c r="S6" s="358">
        <v>1910398</v>
      </c>
      <c r="T6" s="357">
        <v>3975</v>
      </c>
      <c r="U6" s="357"/>
      <c r="V6" s="355">
        <f>Tableau1[[#This Row],[CEO_remuneration]]/Tableau1[[#This Row],[average_remuneration]]</f>
        <v>79.216254738415955</v>
      </c>
      <c r="W6" s="340">
        <f>Tableau1[[#This Row],[Dividends+Buybacks]]/Tableau1[[#This Row],[net_profit]]</f>
        <v>0.53018726591760301</v>
      </c>
    </row>
    <row r="7" spans="1:25" x14ac:dyDescent="0.3">
      <c r="A7" s="231" t="s">
        <v>37</v>
      </c>
      <c r="B7" s="231" t="s">
        <v>60</v>
      </c>
      <c r="C7" s="231">
        <v>2022</v>
      </c>
      <c r="D7" s="351" t="s">
        <v>673</v>
      </c>
      <c r="E7" s="231">
        <v>4521000000</v>
      </c>
      <c r="F7" s="352" t="s">
        <v>88</v>
      </c>
      <c r="G7" s="231" t="s">
        <v>675</v>
      </c>
      <c r="H7" s="231">
        <v>10196000000</v>
      </c>
      <c r="I7" s="231">
        <v>17605000000</v>
      </c>
      <c r="J7" s="231">
        <v>193122</v>
      </c>
      <c r="K7" s="231">
        <f t="shared" si="0"/>
        <v>91159.992129327569</v>
      </c>
      <c r="L7" s="231" t="s">
        <v>86</v>
      </c>
      <c r="M7" s="231" t="s">
        <v>87</v>
      </c>
      <c r="N7" s="231" t="s">
        <v>64</v>
      </c>
      <c r="O7" s="353">
        <v>4603815</v>
      </c>
      <c r="P7" s="361">
        <v>1843000</v>
      </c>
      <c r="Q7" s="361">
        <v>1931464</v>
      </c>
      <c r="R7" s="362"/>
      <c r="S7" s="362">
        <v>759685</v>
      </c>
      <c r="T7" s="361">
        <v>69666</v>
      </c>
      <c r="U7" s="361"/>
      <c r="V7" s="355">
        <f>Tableau1[[#This Row],[CEO_remuneration]]/Tableau1[[#This Row],[average_remuneration]]</f>
        <v>50.502582245384836</v>
      </c>
      <c r="W7" s="340">
        <f>Tableau1[[#This Row],[Dividends+Buybacks]]/Tableau1[[#This Row],[net_profit]]</f>
        <v>0.44340918007061592</v>
      </c>
    </row>
    <row r="8" spans="1:25" x14ac:dyDescent="0.3">
      <c r="A8" s="231" t="s">
        <v>48</v>
      </c>
      <c r="B8" s="231" t="s">
        <v>60</v>
      </c>
      <c r="C8" s="231">
        <v>2022</v>
      </c>
      <c r="D8" s="351" t="s">
        <v>673</v>
      </c>
      <c r="E8" s="231">
        <v>917000000</v>
      </c>
      <c r="F8" s="352" t="s">
        <v>136</v>
      </c>
      <c r="G8" s="231" t="s">
        <v>675</v>
      </c>
      <c r="H8" s="231">
        <v>973000000</v>
      </c>
      <c r="I8" s="231">
        <v>10381000000</v>
      </c>
      <c r="J8" s="231">
        <v>196154</v>
      </c>
      <c r="K8" s="231">
        <f t="shared" si="0"/>
        <v>52922.703590036399</v>
      </c>
      <c r="L8" s="231" t="s">
        <v>137</v>
      </c>
      <c r="M8" s="231" t="s">
        <v>138</v>
      </c>
      <c r="N8" s="231" t="s">
        <v>64</v>
      </c>
      <c r="O8" s="353">
        <v>6023640</v>
      </c>
      <c r="P8" s="354">
        <v>1500000</v>
      </c>
      <c r="Q8" s="354">
        <v>2067000</v>
      </c>
      <c r="R8" s="354">
        <v>1389454</v>
      </c>
      <c r="S8" s="354">
        <v>909700</v>
      </c>
      <c r="T8" s="354">
        <v>125636</v>
      </c>
      <c r="U8" s="354">
        <v>31850</v>
      </c>
      <c r="V8" s="355">
        <f>Tableau1[[#This Row],[CEO_remuneration]]/Tableau1[[#This Row],[average_remuneration]]</f>
        <v>113.81958198246797</v>
      </c>
      <c r="W8" s="340">
        <f>Tableau1[[#This Row],[Dividends+Buybacks]]/Tableau1[[#This Row],[net_profit]]</f>
        <v>0.94244604316546765</v>
      </c>
    </row>
    <row r="9" spans="1:25" x14ac:dyDescent="0.3">
      <c r="A9" s="231" t="s">
        <v>15</v>
      </c>
      <c r="B9" s="231" t="s">
        <v>60</v>
      </c>
      <c r="C9" s="231">
        <v>2022</v>
      </c>
      <c r="D9" s="351" t="s">
        <v>673</v>
      </c>
      <c r="E9" s="231">
        <v>1127000000</v>
      </c>
      <c r="F9" s="352" t="s">
        <v>34</v>
      </c>
      <c r="G9" s="231" t="s">
        <v>675</v>
      </c>
      <c r="H9" s="231">
        <v>1550000000</v>
      </c>
      <c r="I9" s="231">
        <v>14969000000</v>
      </c>
      <c r="J9" s="231">
        <v>347758</v>
      </c>
      <c r="K9" s="231">
        <f t="shared" si="0"/>
        <v>43044.300921905466</v>
      </c>
      <c r="L9" s="231" t="s">
        <v>110</v>
      </c>
      <c r="M9" s="231" t="s">
        <v>111</v>
      </c>
      <c r="N9" s="231" t="s">
        <v>64</v>
      </c>
      <c r="O9" s="353">
        <v>4913313</v>
      </c>
      <c r="P9" s="357">
        <v>1000000</v>
      </c>
      <c r="Q9" s="357">
        <v>1112320</v>
      </c>
      <c r="R9" s="358">
        <v>414720</v>
      </c>
      <c r="S9" s="357">
        <v>2386273</v>
      </c>
      <c r="T9" s="357"/>
      <c r="U9" s="357"/>
      <c r="V9" s="355">
        <f>Tableau1[[#This Row],[CEO_remuneration]]/Tableau1[[#This Row],[average_remuneration]]</f>
        <v>114.14549417155455</v>
      </c>
      <c r="W9" s="340">
        <f>Tableau1[[#This Row],[Dividends+Buybacks]]/Tableau1[[#This Row],[net_profit]]</f>
        <v>0.72709677419354835</v>
      </c>
    </row>
    <row r="10" spans="1:25" x14ac:dyDescent="0.3">
      <c r="A10" s="231" t="s">
        <v>11</v>
      </c>
      <c r="B10" s="231" t="s">
        <v>60</v>
      </c>
      <c r="C10" s="231">
        <v>2022</v>
      </c>
      <c r="D10" s="351" t="s">
        <v>673</v>
      </c>
      <c r="E10" s="231">
        <v>1130000000</v>
      </c>
      <c r="F10" s="352" t="s">
        <v>12</v>
      </c>
      <c r="G10" s="231" t="s">
        <v>675</v>
      </c>
      <c r="H10" s="231">
        <v>1348000000</v>
      </c>
      <c r="I10" s="231">
        <v>7337000000</v>
      </c>
      <c r="J10" s="231">
        <v>334640</v>
      </c>
      <c r="K10" s="231">
        <f t="shared" si="0"/>
        <v>21925.053789146546</v>
      </c>
      <c r="L10" s="231" t="s">
        <v>112</v>
      </c>
      <c r="M10" s="231" t="s">
        <v>113</v>
      </c>
      <c r="N10" s="231" t="s">
        <v>64</v>
      </c>
      <c r="O10" s="353">
        <v>9331946</v>
      </c>
      <c r="P10" s="354">
        <v>1500000</v>
      </c>
      <c r="Q10" s="354">
        <v>2850000</v>
      </c>
      <c r="R10" s="354"/>
      <c r="S10" s="354">
        <v>4897894</v>
      </c>
      <c r="T10" s="354">
        <v>84052</v>
      </c>
      <c r="U10" s="354"/>
      <c r="V10" s="355">
        <f>Tableau1[[#This Row],[CEO_remuneration]]/Tableau1[[#This Row],[average_remuneration]]</f>
        <v>425.62933207578027</v>
      </c>
      <c r="W10" s="340">
        <f>Tableau1[[#This Row],[Dividends+Buybacks]]/Tableau1[[#This Row],[net_profit]]</f>
        <v>0.83827893175074186</v>
      </c>
    </row>
    <row r="11" spans="1:25" x14ac:dyDescent="0.3">
      <c r="A11" s="231" t="s">
        <v>39</v>
      </c>
      <c r="B11" s="231" t="s">
        <v>60</v>
      </c>
      <c r="C11" s="231">
        <v>2022</v>
      </c>
      <c r="D11" s="351" t="s">
        <v>673</v>
      </c>
      <c r="E11" s="231">
        <v>3353000000</v>
      </c>
      <c r="F11" s="352" t="s">
        <v>94</v>
      </c>
      <c r="G11" s="231" t="s">
        <v>675</v>
      </c>
      <c r="H11" s="231">
        <v>1838000000</v>
      </c>
      <c r="I11" s="231">
        <v>8132000000</v>
      </c>
      <c r="J11" s="231">
        <v>71652</v>
      </c>
      <c r="K11" s="231">
        <f t="shared" si="0"/>
        <v>113492.99391503377</v>
      </c>
      <c r="L11" s="231" t="s">
        <v>92</v>
      </c>
      <c r="M11" s="231" t="s">
        <v>93</v>
      </c>
      <c r="N11" s="231" t="s">
        <v>64</v>
      </c>
      <c r="O11" s="353">
        <v>2451793</v>
      </c>
      <c r="P11" s="354">
        <v>1100000</v>
      </c>
      <c r="Q11" s="354">
        <v>1244000</v>
      </c>
      <c r="R11" s="354"/>
      <c r="S11" s="354">
        <v>101954</v>
      </c>
      <c r="T11" s="354">
        <v>5839</v>
      </c>
      <c r="U11" s="354"/>
      <c r="V11" s="355">
        <f>Tableau1[[#This Row],[CEO_remuneration]]/Tableau1[[#This Row],[average_remuneration]]</f>
        <v>21.603033944417117</v>
      </c>
      <c r="W11" s="340">
        <f>Tableau1[[#This Row],[Dividends+Buybacks]]/Tableau1[[#This Row],[net_profit]]</f>
        <v>1.8242655059847661</v>
      </c>
    </row>
    <row r="12" spans="1:25" x14ac:dyDescent="0.3">
      <c r="A12" s="231" t="s">
        <v>14</v>
      </c>
      <c r="B12" s="231" t="s">
        <v>60</v>
      </c>
      <c r="C12" s="231">
        <v>2022</v>
      </c>
      <c r="D12" s="351" t="s">
        <v>673</v>
      </c>
      <c r="E12" s="231">
        <v>1261000000</v>
      </c>
      <c r="F12" s="352" t="s">
        <v>33</v>
      </c>
      <c r="G12" s="231" t="s">
        <v>675</v>
      </c>
      <c r="H12" s="231">
        <v>959000000</v>
      </c>
      <c r="I12" s="231">
        <f>4348000000+40000000+18000000</f>
        <v>4406000000</v>
      </c>
      <c r="J12" s="231">
        <v>96166</v>
      </c>
      <c r="K12" s="231">
        <f t="shared" si="0"/>
        <v>45816.608780650124</v>
      </c>
      <c r="L12" s="231" t="s">
        <v>114</v>
      </c>
      <c r="M12" s="231" t="s">
        <v>115</v>
      </c>
      <c r="N12" s="231" t="s">
        <v>64</v>
      </c>
      <c r="O12" s="353">
        <v>5700464</v>
      </c>
      <c r="P12" s="354">
        <v>1400000</v>
      </c>
      <c r="Q12" s="354">
        <v>2121000</v>
      </c>
      <c r="R12" s="354"/>
      <c r="S12" s="354">
        <v>2132571</v>
      </c>
      <c r="T12" s="354">
        <v>46893</v>
      </c>
      <c r="U12" s="354"/>
      <c r="V12" s="355">
        <f>Tableau1[[#This Row],[CEO_remuneration]]/Tableau1[[#This Row],[average_remuneration]]</f>
        <v>124.41916046845212</v>
      </c>
      <c r="W12" s="340">
        <f>Tableau1[[#This Row],[Dividends+Buybacks]]/Tableau1[[#This Row],[net_profit]]</f>
        <v>1.3149113660062566</v>
      </c>
    </row>
    <row r="13" spans="1:25" x14ac:dyDescent="0.3">
      <c r="A13" s="231" t="s">
        <v>1</v>
      </c>
      <c r="B13" s="231" t="s">
        <v>60</v>
      </c>
      <c r="C13" s="231">
        <v>2022</v>
      </c>
      <c r="D13" s="351" t="s">
        <v>673</v>
      </c>
      <c r="E13" s="231">
        <v>861000000</v>
      </c>
      <c r="F13" s="352" t="s">
        <v>5</v>
      </c>
      <c r="G13" s="231" t="s">
        <v>675</v>
      </c>
      <c r="H13" s="231">
        <v>930200000</v>
      </c>
      <c r="I13" s="231">
        <v>2960200000</v>
      </c>
      <c r="J13" s="231">
        <v>21477</v>
      </c>
      <c r="K13" s="231">
        <f t="shared" si="0"/>
        <v>137831.16822647484</v>
      </c>
      <c r="L13" s="231" t="s">
        <v>108</v>
      </c>
      <c r="M13" s="231" t="s">
        <v>109</v>
      </c>
      <c r="N13" s="231" t="s">
        <v>64</v>
      </c>
      <c r="O13" s="353">
        <v>32962337</v>
      </c>
      <c r="P13" s="354">
        <v>1445000</v>
      </c>
      <c r="Q13" s="354">
        <v>1590000</v>
      </c>
      <c r="R13" s="354"/>
      <c r="S13" s="354">
        <v>29865000</v>
      </c>
      <c r="T13" s="354">
        <v>62337</v>
      </c>
      <c r="U13" s="354"/>
      <c r="V13" s="355">
        <f>Tableau1[[#This Row],[CEO_remuneration]]/Tableau1[[#This Row],[average_remuneration]]</f>
        <v>239.15009517904195</v>
      </c>
      <c r="W13" s="340">
        <f>Tableau1[[#This Row],[Dividends+Buybacks]]/Tableau1[[#This Row],[net_profit]]</f>
        <v>0.92560739625886901</v>
      </c>
    </row>
    <row r="14" spans="1:25" x14ac:dyDescent="0.3">
      <c r="A14" s="231" t="s">
        <v>42</v>
      </c>
      <c r="B14" s="231" t="s">
        <v>60</v>
      </c>
      <c r="C14" s="231">
        <v>2022</v>
      </c>
      <c r="D14" s="351" t="s">
        <v>673</v>
      </c>
      <c r="E14" s="231">
        <v>2327000000</v>
      </c>
      <c r="F14" s="352" t="s">
        <v>104</v>
      </c>
      <c r="G14" s="231" t="s">
        <v>675</v>
      </c>
      <c r="H14" s="231">
        <v>216000000</v>
      </c>
      <c r="I14" s="231">
        <v>8078000000</v>
      </c>
      <c r="J14" s="231">
        <v>96454</v>
      </c>
      <c r="K14" s="231">
        <f t="shared" si="0"/>
        <v>83749.766728181305</v>
      </c>
      <c r="L14" s="231" t="s">
        <v>101</v>
      </c>
      <c r="M14" s="231" t="s">
        <v>102</v>
      </c>
      <c r="N14" s="231" t="s">
        <v>103</v>
      </c>
      <c r="O14" s="353">
        <v>3730992</v>
      </c>
      <c r="P14" s="354">
        <v>1000000</v>
      </c>
      <c r="Q14" s="354">
        <v>1136000</v>
      </c>
      <c r="R14" s="354"/>
      <c r="S14" s="354">
        <v>1054800</v>
      </c>
      <c r="T14" s="354">
        <v>6192</v>
      </c>
      <c r="U14" s="354">
        <v>534000</v>
      </c>
      <c r="V14" s="355">
        <f>Tableau1[[#This Row],[CEO_remuneration]]/Tableau1[[#This Row],[average_remuneration]]</f>
        <v>44.549282293637042</v>
      </c>
      <c r="W14" s="340">
        <f>Tableau1[[#This Row],[Dividends+Buybacks]]/Tableau1[[#This Row],[net_profit]]</f>
        <v>10.773148148148149</v>
      </c>
    </row>
    <row r="15" spans="1:25" x14ac:dyDescent="0.3">
      <c r="A15" s="231" t="s">
        <v>13</v>
      </c>
      <c r="B15" s="231" t="s">
        <v>60</v>
      </c>
      <c r="C15" s="231">
        <v>2022</v>
      </c>
      <c r="D15" s="351" t="s">
        <v>673</v>
      </c>
      <c r="E15" s="231">
        <v>915000000</v>
      </c>
      <c r="F15" s="352" t="s">
        <v>32</v>
      </c>
      <c r="G15" s="231" t="s">
        <v>675</v>
      </c>
      <c r="H15" s="231">
        <v>2860000000</v>
      </c>
      <c r="I15" s="231">
        <v>7869000000</v>
      </c>
      <c r="J15" s="231">
        <v>189788</v>
      </c>
      <c r="K15" s="231">
        <f t="shared" si="0"/>
        <v>41462.052395304236</v>
      </c>
      <c r="L15" s="231" t="s">
        <v>116</v>
      </c>
      <c r="M15" s="231" t="s">
        <v>117</v>
      </c>
      <c r="N15" s="231" t="s">
        <v>64</v>
      </c>
      <c r="O15" s="353">
        <v>7496074</v>
      </c>
      <c r="P15" s="354">
        <v>1500000</v>
      </c>
      <c r="Q15" s="354">
        <v>2437500</v>
      </c>
      <c r="R15" s="354"/>
      <c r="S15" s="354">
        <v>3430000</v>
      </c>
      <c r="T15" s="354">
        <v>100000</v>
      </c>
      <c r="U15" s="354">
        <v>28574</v>
      </c>
      <c r="V15" s="355">
        <f>Tableau1[[#This Row],[CEO_remuneration]]/Tableau1[[#This Row],[average_remuneration]]</f>
        <v>180.7936068511882</v>
      </c>
      <c r="W15" s="340">
        <f>Tableau1[[#This Row],[Dividends+Buybacks]]/Tableau1[[#This Row],[net_profit]]</f>
        <v>0.31993006993006995</v>
      </c>
    </row>
    <row r="16" spans="1:25" x14ac:dyDescent="0.3">
      <c r="A16" s="231" t="s">
        <v>55</v>
      </c>
      <c r="B16" s="231" t="s">
        <v>60</v>
      </c>
      <c r="C16" s="231">
        <v>2022</v>
      </c>
      <c r="D16" s="351" t="s">
        <v>673</v>
      </c>
      <c r="E16" s="231">
        <v>207000000</v>
      </c>
      <c r="F16" s="352" t="s">
        <v>163</v>
      </c>
      <c r="G16" s="231" t="s">
        <v>675</v>
      </c>
      <c r="H16" s="231">
        <v>605800000</v>
      </c>
      <c r="I16" s="231">
        <v>3053600000</v>
      </c>
      <c r="J16" s="231">
        <v>55631</v>
      </c>
      <c r="K16" s="231">
        <f t="shared" si="0"/>
        <v>54890.259028239649</v>
      </c>
      <c r="L16" s="231" t="s">
        <v>161</v>
      </c>
      <c r="M16" s="231" t="s">
        <v>162</v>
      </c>
      <c r="N16" s="231" t="s">
        <v>64</v>
      </c>
      <c r="O16" s="353">
        <v>1275400</v>
      </c>
      <c r="P16" s="354">
        <v>1252000</v>
      </c>
      <c r="Q16" s="354"/>
      <c r="R16" s="354"/>
      <c r="S16" s="354"/>
      <c r="T16" s="354">
        <v>11400</v>
      </c>
      <c r="U16" s="354">
        <v>12000</v>
      </c>
      <c r="V16" s="355">
        <f>Tableau1[[#This Row],[CEO_remuneration]]/Tableau1[[#This Row],[average_remuneration]]</f>
        <v>23.235452384071262</v>
      </c>
      <c r="W16" s="340">
        <f>Tableau1[[#This Row],[Dividends+Buybacks]]/Tableau1[[#This Row],[net_profit]]</f>
        <v>0.34169692967976228</v>
      </c>
    </row>
    <row r="17" spans="1:23" x14ac:dyDescent="0.3">
      <c r="A17" s="231" t="s">
        <v>663</v>
      </c>
      <c r="B17" s="231" t="s">
        <v>60</v>
      </c>
      <c r="C17" s="231">
        <v>2022</v>
      </c>
      <c r="D17" s="351" t="s">
        <v>673</v>
      </c>
      <c r="E17" s="231">
        <v>968000000</v>
      </c>
      <c r="F17" s="352" t="s">
        <v>131</v>
      </c>
      <c r="G17" s="231" t="s">
        <v>675</v>
      </c>
      <c r="H17" s="231">
        <v>3367000000</v>
      </c>
      <c r="I17" s="231">
        <v>1765000000</v>
      </c>
      <c r="J17" s="231">
        <v>19686</v>
      </c>
      <c r="K17" s="231">
        <f t="shared" si="0"/>
        <v>89657.624707914249</v>
      </c>
      <c r="L17" s="231" t="s">
        <v>133</v>
      </c>
      <c r="M17" s="231" t="s">
        <v>130</v>
      </c>
      <c r="N17" s="231" t="s">
        <v>64</v>
      </c>
      <c r="O17" s="353">
        <v>5002692</v>
      </c>
      <c r="P17" s="354">
        <v>2301950</v>
      </c>
      <c r="Q17" s="354">
        <v>2700742</v>
      </c>
      <c r="R17" s="354"/>
      <c r="S17" s="354"/>
      <c r="T17" s="354"/>
      <c r="U17" s="354"/>
      <c r="V17" s="355">
        <f>Tableau1[[#This Row],[CEO_remuneration]]/Tableau1[[#This Row],[average_remuneration]]</f>
        <v>55.797730715014168</v>
      </c>
      <c r="W17" s="340">
        <f>Tableau1[[#This Row],[Dividends+Buybacks]]/Tableau1[[#This Row],[net_profit]]</f>
        <v>0.28749628749628747</v>
      </c>
    </row>
    <row r="18" spans="1:23" x14ac:dyDescent="0.3">
      <c r="A18" s="231" t="s">
        <v>8</v>
      </c>
      <c r="B18" s="231" t="s">
        <v>60</v>
      </c>
      <c r="C18" s="231">
        <v>2022</v>
      </c>
      <c r="D18" s="351" t="s">
        <v>673</v>
      </c>
      <c r="E18" s="231">
        <v>2513000000</v>
      </c>
      <c r="F18" s="231" t="s">
        <v>9</v>
      </c>
      <c r="G18" s="231" t="s">
        <v>675</v>
      </c>
      <c r="H18" s="231">
        <v>3614000000</v>
      </c>
      <c r="I18" s="231">
        <v>2830000000</v>
      </c>
      <c r="J18" s="231">
        <v>42637</v>
      </c>
      <c r="K18" s="231">
        <f t="shared" si="0"/>
        <v>66374.275863686475</v>
      </c>
      <c r="L18" s="231" t="s">
        <v>118</v>
      </c>
      <c r="M18" s="231" t="s">
        <v>119</v>
      </c>
      <c r="N18" s="231" t="s">
        <v>64</v>
      </c>
      <c r="O18" s="353">
        <v>6572616</v>
      </c>
      <c r="P18" s="354">
        <v>1200000</v>
      </c>
      <c r="Q18" s="354">
        <v>943200</v>
      </c>
      <c r="R18" s="354"/>
      <c r="S18" s="354">
        <v>4282717</v>
      </c>
      <c r="T18" s="354">
        <v>146699</v>
      </c>
      <c r="U18" s="354"/>
      <c r="V18" s="355">
        <f>Tableau1[[#This Row],[CEO_remuneration]]/Tableau1[[#This Row],[average_remuneration]]</f>
        <v>99.023543601413422</v>
      </c>
      <c r="W18" s="340">
        <f>Tableau1[[#This Row],[Dividends+Buybacks]]/Tableau1[[#This Row],[net_profit]]</f>
        <v>0.69535141117874932</v>
      </c>
    </row>
    <row r="19" spans="1:23" x14ac:dyDescent="0.3">
      <c r="A19" s="231" t="s">
        <v>54</v>
      </c>
      <c r="B19" s="231" t="s">
        <v>60</v>
      </c>
      <c r="C19" s="231">
        <v>2022</v>
      </c>
      <c r="D19" s="351" t="s">
        <v>673</v>
      </c>
      <c r="E19" s="231">
        <v>477000000</v>
      </c>
      <c r="F19" s="352" t="s">
        <v>158</v>
      </c>
      <c r="G19" s="231" t="s">
        <v>675</v>
      </c>
      <c r="H19" s="231">
        <v>9995000000</v>
      </c>
      <c r="I19" s="231">
        <v>1854600000</v>
      </c>
      <c r="J19" s="231">
        <v>33895</v>
      </c>
      <c r="K19" s="231">
        <f t="shared" si="0"/>
        <v>54716.034813394304</v>
      </c>
      <c r="L19" s="231" t="s">
        <v>159</v>
      </c>
      <c r="M19" s="231" t="s">
        <v>160</v>
      </c>
      <c r="N19" s="231" t="s">
        <v>64</v>
      </c>
      <c r="O19" s="353">
        <v>3493114</v>
      </c>
      <c r="P19" s="354"/>
      <c r="Q19" s="354"/>
      <c r="R19" s="354"/>
      <c r="S19" s="354"/>
      <c r="T19" s="354"/>
      <c r="U19" s="354"/>
      <c r="V19" s="355">
        <f>Tableau1[[#This Row],[CEO_remuneration]]/Tableau1[[#This Row],[average_remuneration]]</f>
        <v>63.840773767928397</v>
      </c>
      <c r="W19" s="340">
        <f>Tableau1[[#This Row],[Dividends+Buybacks]]/Tableau1[[#This Row],[net_profit]]</f>
        <v>4.7723861930965485E-2</v>
      </c>
    </row>
    <row r="20" spans="1:23" x14ac:dyDescent="0.3">
      <c r="A20" s="231" t="s">
        <v>17</v>
      </c>
      <c r="B20" s="231" t="s">
        <v>60</v>
      </c>
      <c r="C20" s="231">
        <v>2022</v>
      </c>
      <c r="D20" s="351" t="s">
        <v>673</v>
      </c>
      <c r="E20" s="231">
        <v>3101000000</v>
      </c>
      <c r="F20" s="352" t="s">
        <v>70</v>
      </c>
      <c r="G20" s="231" t="s">
        <v>675</v>
      </c>
      <c r="H20" s="231">
        <v>5706600000</v>
      </c>
      <c r="I20" s="231">
        <v>7263700000</v>
      </c>
      <c r="J20" s="231">
        <v>87369</v>
      </c>
      <c r="K20" s="231">
        <f t="shared" si="0"/>
        <v>83138.184024081769</v>
      </c>
      <c r="L20" s="231" t="s">
        <v>65</v>
      </c>
      <c r="M20" s="231" t="s">
        <v>66</v>
      </c>
      <c r="N20" s="231" t="s">
        <v>64</v>
      </c>
      <c r="O20" s="353">
        <v>10337194.02</v>
      </c>
      <c r="P20" s="354">
        <v>2000000</v>
      </c>
      <c r="Q20" s="354">
        <v>2260000</v>
      </c>
      <c r="R20" s="354"/>
      <c r="S20" s="354">
        <v>6066600</v>
      </c>
      <c r="T20" s="354">
        <v>4217.9399999999996</v>
      </c>
      <c r="U20" s="354">
        <v>6376.08</v>
      </c>
      <c r="V20" s="355">
        <f>Tableau1[[#This Row],[CEO_remuneration]]/Tableau1[[#This Row],[average_remuneration]]</f>
        <v>124.33750076866885</v>
      </c>
      <c r="W20" s="340">
        <f>Tableau1[[#This Row],[Dividends+Buybacks]]/Tableau1[[#This Row],[net_profit]]</f>
        <v>0.54340588090982367</v>
      </c>
    </row>
    <row r="21" spans="1:23" x14ac:dyDescent="0.3">
      <c r="A21" s="231" t="s">
        <v>18</v>
      </c>
      <c r="B21" s="231" t="s">
        <v>60</v>
      </c>
      <c r="C21" s="231">
        <v>2022</v>
      </c>
      <c r="D21" s="351" t="s">
        <v>673</v>
      </c>
      <c r="E21" s="231">
        <v>7079000000</v>
      </c>
      <c r="F21" s="352" t="s">
        <v>76</v>
      </c>
      <c r="G21" s="231" t="s">
        <v>675</v>
      </c>
      <c r="H21" s="231">
        <v>14084000000</v>
      </c>
      <c r="I21" s="231">
        <v>11961000000</v>
      </c>
      <c r="J21" s="231">
        <v>196006</v>
      </c>
      <c r="K21" s="231">
        <f t="shared" si="0"/>
        <v>61023.642133404079</v>
      </c>
      <c r="L21" s="231" t="s">
        <v>74</v>
      </c>
      <c r="M21" s="231" t="s">
        <v>75</v>
      </c>
      <c r="N21" s="231" t="s">
        <v>64</v>
      </c>
      <c r="O21" s="353">
        <v>7940745</v>
      </c>
      <c r="P21" s="354">
        <v>1138307</v>
      </c>
      <c r="Q21" s="354">
        <v>2200000</v>
      </c>
      <c r="R21" s="354"/>
      <c r="S21" s="354">
        <v>4483107</v>
      </c>
      <c r="T21" s="354">
        <v>119331</v>
      </c>
      <c r="U21" s="354"/>
      <c r="V21" s="355">
        <f>Tableau1[[#This Row],[CEO_remuneration]]/Tableau1[[#This Row],[average_remuneration]]</f>
        <v>130.12571394281414</v>
      </c>
      <c r="W21" s="340">
        <f>Tableau1[[#This Row],[Dividends+Buybacks]]/Tableau1[[#This Row],[net_profit]]</f>
        <v>0.50262709457540466</v>
      </c>
    </row>
    <row r="22" spans="1:23" x14ac:dyDescent="0.3">
      <c r="A22" s="231" t="s">
        <v>47</v>
      </c>
      <c r="B22" s="231" t="s">
        <v>60</v>
      </c>
      <c r="C22" s="231">
        <v>2022</v>
      </c>
      <c r="D22" s="351" t="s">
        <v>673</v>
      </c>
      <c r="E22" s="231">
        <v>925000000</v>
      </c>
      <c r="F22" s="352" t="s">
        <v>132</v>
      </c>
      <c r="G22" s="231" t="s">
        <v>675</v>
      </c>
      <c r="H22" s="363">
        <v>2009000000</v>
      </c>
      <c r="I22" s="231">
        <v>6950000000</v>
      </c>
      <c r="J22" s="231">
        <v>124037</v>
      </c>
      <c r="K22" s="231">
        <f t="shared" si="0"/>
        <v>56031.667970041199</v>
      </c>
      <c r="L22" s="231" t="s">
        <v>134</v>
      </c>
      <c r="M22" s="231" t="s">
        <v>135</v>
      </c>
      <c r="N22" s="231" t="s">
        <v>64</v>
      </c>
      <c r="O22" s="353">
        <v>2798982.5900000003</v>
      </c>
      <c r="P22" s="354">
        <v>1016670</v>
      </c>
      <c r="Q22" s="354">
        <v>905744.43</v>
      </c>
      <c r="R22" s="354"/>
      <c r="S22" s="354">
        <v>866812.76</v>
      </c>
      <c r="T22" s="354">
        <v>9755.4</v>
      </c>
      <c r="U22" s="354"/>
      <c r="V22" s="355">
        <f>Tableau1[[#This Row],[CEO_remuneration]]/Tableau1[[#This Row],[average_remuneration]]</f>
        <v>49.953583239687774</v>
      </c>
      <c r="W22" s="340">
        <f>Tableau1[[#This Row],[Dividends+Buybacks]]/Tableau1[[#This Row],[net_profit]]</f>
        <v>0.46042807366849181</v>
      </c>
    </row>
    <row r="23" spans="1:23" x14ac:dyDescent="0.3">
      <c r="A23" s="231" t="s">
        <v>43</v>
      </c>
      <c r="B23" s="231" t="s">
        <v>60</v>
      </c>
      <c r="C23" s="231">
        <v>2022</v>
      </c>
      <c r="D23" s="351" t="s">
        <v>673</v>
      </c>
      <c r="E23" s="231">
        <v>1840000000</v>
      </c>
      <c r="F23" s="352" t="s">
        <v>105</v>
      </c>
      <c r="G23" s="231" t="s">
        <v>675</v>
      </c>
      <c r="H23" s="231">
        <v>2617000000</v>
      </c>
      <c r="I23" s="231">
        <v>8920000000</v>
      </c>
      <c r="J23" s="231">
        <v>130307</v>
      </c>
      <c r="K23" s="231">
        <f t="shared" si="0"/>
        <v>68453.728502689803</v>
      </c>
      <c r="L23" s="231" t="s">
        <v>106</v>
      </c>
      <c r="M23" s="231" t="s">
        <v>107</v>
      </c>
      <c r="N23" s="231" t="s">
        <v>103</v>
      </c>
      <c r="O23" s="353">
        <v>1977255</v>
      </c>
      <c r="P23" s="354">
        <v>667500</v>
      </c>
      <c r="Q23" s="354">
        <v>616970</v>
      </c>
      <c r="R23" s="354">
        <v>66750</v>
      </c>
      <c r="S23" s="354">
        <v>527100</v>
      </c>
      <c r="T23" s="354">
        <v>98935</v>
      </c>
      <c r="U23" s="354"/>
      <c r="V23" s="355">
        <f>Tableau1[[#This Row],[CEO_remuneration]]/Tableau1[[#This Row],[average_remuneration]]</f>
        <v>28.88454790190583</v>
      </c>
      <c r="W23" s="340">
        <f>Tableau1[[#This Row],[Dividends+Buybacks]]/Tableau1[[#This Row],[net_profit]]</f>
        <v>0.70309514711501719</v>
      </c>
    </row>
    <row r="24" spans="1:23" x14ac:dyDescent="0.3">
      <c r="A24" s="231" t="s">
        <v>29</v>
      </c>
      <c r="B24" s="231" t="s">
        <v>60</v>
      </c>
      <c r="C24" s="231">
        <v>2022</v>
      </c>
      <c r="D24" s="351" t="s">
        <v>673</v>
      </c>
      <c r="E24" s="231">
        <v>1991000000</v>
      </c>
      <c r="F24" s="352" t="s">
        <v>31</v>
      </c>
      <c r="G24" s="231" t="s">
        <v>675</v>
      </c>
      <c r="H24" s="231">
        <v>2031000000</v>
      </c>
      <c r="I24" s="231">
        <v>1459000000</v>
      </c>
      <c r="J24" s="231">
        <v>20617</v>
      </c>
      <c r="K24" s="231">
        <f t="shared" si="0"/>
        <v>70766.8428966387</v>
      </c>
      <c r="L24" s="231" t="s">
        <v>112</v>
      </c>
      <c r="M24" s="231" t="s">
        <v>120</v>
      </c>
      <c r="N24" s="231" t="s">
        <v>64</v>
      </c>
      <c r="O24" s="353">
        <v>5721834</v>
      </c>
      <c r="P24" s="354">
        <v>1250000</v>
      </c>
      <c r="Q24" s="354">
        <v>1890625</v>
      </c>
      <c r="R24" s="354"/>
      <c r="S24" s="354">
        <v>1874741</v>
      </c>
      <c r="T24" s="354">
        <v>6552</v>
      </c>
      <c r="U24" s="354">
        <v>699916</v>
      </c>
      <c r="V24" s="355">
        <f>Tableau1[[#This Row],[CEO_remuneration]]/Tableau1[[#This Row],[average_remuneration]]</f>
        <v>80.854730348183679</v>
      </c>
      <c r="W24" s="340">
        <f>Tableau1[[#This Row],[Dividends+Buybacks]]/Tableau1[[#This Row],[net_profit]]</f>
        <v>0.98030526834071885</v>
      </c>
    </row>
    <row r="25" spans="1:23" x14ac:dyDescent="0.3">
      <c r="A25" s="231" t="s">
        <v>52</v>
      </c>
      <c r="B25" s="231" t="s">
        <v>60</v>
      </c>
      <c r="C25" s="231">
        <v>2022</v>
      </c>
      <c r="D25" s="351" t="s">
        <v>673</v>
      </c>
      <c r="E25" s="231">
        <v>599000000</v>
      </c>
      <c r="F25" s="352" t="s">
        <v>146</v>
      </c>
      <c r="G25" s="231" t="s">
        <v>675</v>
      </c>
      <c r="H25" s="231">
        <v>1222000000</v>
      </c>
      <c r="I25" s="231">
        <v>8211000000</v>
      </c>
      <c r="J25" s="231">
        <v>98022</v>
      </c>
      <c r="K25" s="231">
        <f t="shared" si="0"/>
        <v>83766.909469302816</v>
      </c>
      <c r="L25" s="231" t="s">
        <v>147</v>
      </c>
      <c r="M25" s="231" t="s">
        <v>148</v>
      </c>
      <c r="N25" s="231" t="s">
        <v>64</v>
      </c>
      <c r="O25" s="353">
        <v>6666587</v>
      </c>
      <c r="P25" s="354">
        <v>1170000</v>
      </c>
      <c r="Q25" s="354">
        <v>2503800</v>
      </c>
      <c r="R25" s="354"/>
      <c r="S25" s="354">
        <v>2988082</v>
      </c>
      <c r="T25" s="354">
        <v>4705</v>
      </c>
      <c r="U25" s="354"/>
      <c r="V25" s="355">
        <f>Tableau1[[#This Row],[CEO_remuneration]]/Tableau1[[#This Row],[average_remuneration]]</f>
        <v>79.584970273291916</v>
      </c>
      <c r="W25" s="340">
        <f>Tableau1[[#This Row],[Dividends+Buybacks]]/Tableau1[[#This Row],[net_profit]]</f>
        <v>0.49018003273322425</v>
      </c>
    </row>
    <row r="26" spans="1:23" x14ac:dyDescent="0.3">
      <c r="A26" s="231" t="s">
        <v>19</v>
      </c>
      <c r="B26" s="231" t="s">
        <v>60</v>
      </c>
      <c r="C26" s="231">
        <v>2022</v>
      </c>
      <c r="D26" s="351" t="s">
        <v>673</v>
      </c>
      <c r="E26" s="231">
        <v>54000000</v>
      </c>
      <c r="F26" s="352" t="s">
        <v>77</v>
      </c>
      <c r="G26" s="231" t="s">
        <v>675</v>
      </c>
      <c r="H26" s="231">
        <v>-338000000</v>
      </c>
      <c r="I26" s="231">
        <v>5661200000</v>
      </c>
      <c r="J26" s="231">
        <v>105812</v>
      </c>
      <c r="K26" s="231">
        <f t="shared" si="0"/>
        <v>53502.438286772769</v>
      </c>
      <c r="L26" s="231" t="s">
        <v>78</v>
      </c>
      <c r="M26" s="231" t="s">
        <v>79</v>
      </c>
      <c r="N26" s="231" t="s">
        <v>64</v>
      </c>
      <c r="O26" s="353">
        <v>4516703</v>
      </c>
      <c r="P26" s="354">
        <v>1300000</v>
      </c>
      <c r="Q26" s="354">
        <v>1950000</v>
      </c>
      <c r="R26" s="354">
        <v>191854</v>
      </c>
      <c r="S26" s="354">
        <v>1061718</v>
      </c>
      <c r="T26" s="354">
        <v>13131</v>
      </c>
      <c r="U26" s="354"/>
      <c r="V26" s="355">
        <f>Tableau1[[#This Row],[CEO_remuneration]]/Tableau1[[#This Row],[average_remuneration]]</f>
        <v>84.420507637250054</v>
      </c>
      <c r="W26" s="340">
        <f>Tableau1[[#This Row],[Dividends+Buybacks]]/Tableau1[[#This Row],[net_profit]]</f>
        <v>-0.15976331360946747</v>
      </c>
    </row>
    <row r="27" spans="1:23" x14ac:dyDescent="0.3">
      <c r="A27" s="231" t="s">
        <v>51</v>
      </c>
      <c r="B27" s="231" t="s">
        <v>60</v>
      </c>
      <c r="C27" s="231">
        <v>2022</v>
      </c>
      <c r="D27" s="351" t="s">
        <v>673</v>
      </c>
      <c r="E27" s="231">
        <v>666000000</v>
      </c>
      <c r="F27" s="352" t="s">
        <v>144</v>
      </c>
      <c r="G27" s="231" t="s">
        <v>675</v>
      </c>
      <c r="H27" s="231">
        <v>-2459000000</v>
      </c>
      <c r="I27" s="231">
        <v>5792000000</v>
      </c>
      <c r="J27" s="231">
        <v>83276</v>
      </c>
      <c r="K27" s="231">
        <f t="shared" si="0"/>
        <v>69551.851673951678</v>
      </c>
      <c r="L27" s="231" t="s">
        <v>137</v>
      </c>
      <c r="M27" s="231" t="s">
        <v>145</v>
      </c>
      <c r="N27" s="231" t="s">
        <v>64</v>
      </c>
      <c r="O27" s="353">
        <v>2992083.69</v>
      </c>
      <c r="P27" s="354">
        <v>800000</v>
      </c>
      <c r="Q27" s="354">
        <v>1072671</v>
      </c>
      <c r="R27" s="354"/>
      <c r="S27" s="354">
        <v>959947.98</v>
      </c>
      <c r="T27" s="354">
        <v>24091.15</v>
      </c>
      <c r="U27" s="354">
        <v>135373.56</v>
      </c>
      <c r="V27" s="355">
        <f>Tableau1[[#This Row],[CEO_remuneration]]/Tableau1[[#This Row],[average_remuneration]]</f>
        <v>43.019468468308013</v>
      </c>
      <c r="W27" s="340">
        <f>Tableau1[[#This Row],[Dividends+Buybacks]]/Tableau1[[#This Row],[net_profit]]</f>
        <v>-0.27084180561203741</v>
      </c>
    </row>
    <row r="28" spans="1:23" x14ac:dyDescent="0.3">
      <c r="A28" s="231" t="s">
        <v>16</v>
      </c>
      <c r="B28" s="231" t="s">
        <v>60</v>
      </c>
      <c r="C28" s="231">
        <v>2022</v>
      </c>
      <c r="D28" s="351" t="s">
        <v>673</v>
      </c>
      <c r="E28" s="231">
        <v>1633000000</v>
      </c>
      <c r="F28" s="352" t="s">
        <v>73</v>
      </c>
      <c r="G28" s="231" t="s">
        <v>675</v>
      </c>
      <c r="H28" s="231">
        <v>3003000000</v>
      </c>
      <c r="I28" s="231">
        <f>8995000000+43000000+189000000</f>
        <v>9227000000</v>
      </c>
      <c r="J28" s="231">
        <v>169432</v>
      </c>
      <c r="K28" s="231">
        <f t="shared" si="0"/>
        <v>54458.425799140656</v>
      </c>
      <c r="L28" s="231" t="s">
        <v>71</v>
      </c>
      <c r="M28" s="231" t="s">
        <v>72</v>
      </c>
      <c r="N28" s="231" t="s">
        <v>64</v>
      </c>
      <c r="O28" s="353">
        <v>4622082</v>
      </c>
      <c r="P28" s="354">
        <v>1000000</v>
      </c>
      <c r="Q28" s="354">
        <v>1700000</v>
      </c>
      <c r="R28" s="354"/>
      <c r="S28" s="354">
        <v>1919924</v>
      </c>
      <c r="T28" s="354">
        <v>2158</v>
      </c>
      <c r="U28" s="354"/>
      <c r="V28" s="355">
        <f>Tableau1[[#This Row],[CEO_remuneration]]/Tableau1[[#This Row],[average_remuneration]]</f>
        <v>84.873588102741962</v>
      </c>
      <c r="W28" s="340">
        <f>Tableau1[[#This Row],[Dividends+Buybacks]]/Tableau1[[#This Row],[net_profit]]</f>
        <v>0.54378954378954381</v>
      </c>
    </row>
    <row r="29" spans="1:23" x14ac:dyDescent="0.3">
      <c r="A29" s="231" t="s">
        <v>36</v>
      </c>
      <c r="B29" s="231" t="s">
        <v>60</v>
      </c>
      <c r="C29" s="231">
        <v>2022</v>
      </c>
      <c r="D29" s="351" t="s">
        <v>673</v>
      </c>
      <c r="E29" s="231">
        <v>4665000000</v>
      </c>
      <c r="F29" s="352" t="s">
        <v>85</v>
      </c>
      <c r="G29" s="231" t="s">
        <v>675</v>
      </c>
      <c r="H29" s="231">
        <v>10341000000</v>
      </c>
      <c r="I29" s="231">
        <v>9991000000</v>
      </c>
      <c r="J29" s="231">
        <v>91573</v>
      </c>
      <c r="K29" s="231">
        <f t="shared" si="0"/>
        <v>109104.21194020071</v>
      </c>
      <c r="L29" s="231" t="s">
        <v>83</v>
      </c>
      <c r="M29" s="231" t="s">
        <v>84</v>
      </c>
      <c r="N29" s="231" t="s">
        <v>64</v>
      </c>
      <c r="O29" s="353">
        <v>10718747</v>
      </c>
      <c r="P29" s="354">
        <v>1400000</v>
      </c>
      <c r="Q29" s="354">
        <v>2337300</v>
      </c>
      <c r="R29" s="354"/>
      <c r="S29" s="354">
        <v>6967950</v>
      </c>
      <c r="T29" s="354">
        <v>13497</v>
      </c>
      <c r="U29" s="354"/>
      <c r="V29" s="355">
        <f>Tableau1[[#This Row],[CEO_remuneration]]/Tableau1[[#This Row],[average_remuneration]]</f>
        <v>98.243200783805435</v>
      </c>
      <c r="W29" s="340">
        <f>Tableau1[[#This Row],[Dividends+Buybacks]]/Tableau1[[#This Row],[net_profit]]</f>
        <v>0.45111691325790543</v>
      </c>
    </row>
    <row r="30" spans="1:23" x14ac:dyDescent="0.3">
      <c r="A30" s="231" t="s">
        <v>20</v>
      </c>
      <c r="B30" s="231" t="s">
        <v>60</v>
      </c>
      <c r="C30" s="231">
        <v>2022</v>
      </c>
      <c r="D30" s="351" t="s">
        <v>673</v>
      </c>
      <c r="E30" s="231">
        <v>1837000000</v>
      </c>
      <c r="F30" s="352" t="s">
        <v>80</v>
      </c>
      <c r="G30" s="231" t="s">
        <v>675</v>
      </c>
      <c r="H30" s="231">
        <v>3477000000</v>
      </c>
      <c r="I30" s="231">
        <v>9010000000</v>
      </c>
      <c r="J30" s="231">
        <v>162339</v>
      </c>
      <c r="K30" s="231">
        <f t="shared" si="0"/>
        <v>55501.142670584391</v>
      </c>
      <c r="L30" s="231" t="s">
        <v>81</v>
      </c>
      <c r="M30" s="231" t="s">
        <v>82</v>
      </c>
      <c r="N30" s="231" t="s">
        <v>64</v>
      </c>
      <c r="O30" s="353">
        <v>6488038</v>
      </c>
      <c r="P30" s="354">
        <v>1000000</v>
      </c>
      <c r="Q30" s="354">
        <v>1493700</v>
      </c>
      <c r="R30" s="354"/>
      <c r="S30" s="354">
        <v>3457692</v>
      </c>
      <c r="T30" s="354">
        <v>58853</v>
      </c>
      <c r="U30" s="354">
        <v>477793</v>
      </c>
      <c r="V30" s="355">
        <f>Tableau1[[#This Row],[CEO_remuneration]]/Tableau1[[#This Row],[average_remuneration]]</f>
        <v>116.8991787882353</v>
      </c>
      <c r="W30" s="340">
        <f>Tableau1[[#This Row],[Dividends+Buybacks]]/Tableau1[[#This Row],[net_profit]]</f>
        <v>0.52832901926948517</v>
      </c>
    </row>
    <row r="31" spans="1:23" x14ac:dyDescent="0.3">
      <c r="A31" s="231" t="s">
        <v>41</v>
      </c>
      <c r="B31" s="231" t="s">
        <v>60</v>
      </c>
      <c r="C31" s="231">
        <v>2022</v>
      </c>
      <c r="D31" s="351" t="s">
        <v>673</v>
      </c>
      <c r="E31" s="231">
        <v>2369000000</v>
      </c>
      <c r="F31" s="352" t="s">
        <v>98</v>
      </c>
      <c r="G31" s="231" t="s">
        <v>675</v>
      </c>
      <c r="H31" s="231">
        <v>2018000000</v>
      </c>
      <c r="I31" s="231">
        <v>10052000000</v>
      </c>
      <c r="J31" s="231">
        <v>115466</v>
      </c>
      <c r="K31" s="231">
        <f t="shared" si="0"/>
        <v>87055.929884121739</v>
      </c>
      <c r="L31" s="231" t="s">
        <v>99</v>
      </c>
      <c r="M31" s="231" t="s">
        <v>100</v>
      </c>
      <c r="N31" s="231" t="s">
        <v>64</v>
      </c>
      <c r="O31" s="353">
        <v>2878292</v>
      </c>
      <c r="P31" s="354">
        <v>1300000</v>
      </c>
      <c r="Q31" s="354">
        <v>1566513</v>
      </c>
      <c r="R31" s="354"/>
      <c r="S31" s="354"/>
      <c r="T31" s="354">
        <v>11779</v>
      </c>
      <c r="U31" s="354"/>
      <c r="V31" s="355">
        <f>Tableau1[[#This Row],[CEO_remuneration]]/Tableau1[[#This Row],[average_remuneration]]</f>
        <v>33.06256108953442</v>
      </c>
      <c r="W31" s="340">
        <f>Tableau1[[#This Row],[Dividends+Buybacks]]/Tableau1[[#This Row],[net_profit]]</f>
        <v>1.1739345887016848</v>
      </c>
    </row>
    <row r="32" spans="1:23" x14ac:dyDescent="0.3">
      <c r="A32" s="231" t="s">
        <v>6</v>
      </c>
      <c r="B32" s="231" t="s">
        <v>60</v>
      </c>
      <c r="C32" s="231">
        <v>2022</v>
      </c>
      <c r="D32" s="351" t="s">
        <v>673</v>
      </c>
      <c r="E32" s="231">
        <v>4183000000</v>
      </c>
      <c r="F32" s="352" t="s">
        <v>7</v>
      </c>
      <c r="G32" s="231" t="s">
        <v>675</v>
      </c>
      <c r="H32" s="231">
        <v>16799000000</v>
      </c>
      <c r="I32" s="231">
        <v>18200000000</v>
      </c>
      <c r="J32" s="231">
        <v>282926</v>
      </c>
      <c r="K32" s="231">
        <f t="shared" si="0"/>
        <v>64327.774753822552</v>
      </c>
      <c r="L32" s="231" t="s">
        <v>121</v>
      </c>
      <c r="M32" s="231" t="s">
        <v>122</v>
      </c>
      <c r="N32" s="231" t="s">
        <v>64</v>
      </c>
      <c r="O32" s="353">
        <v>21951194</v>
      </c>
      <c r="P32" s="354">
        <v>2000000</v>
      </c>
      <c r="Q32" s="354">
        <v>7480000</v>
      </c>
      <c r="R32" s="354"/>
      <c r="S32" s="354">
        <v>10086849</v>
      </c>
      <c r="T32" s="354">
        <v>14345</v>
      </c>
      <c r="U32" s="354">
        <v>2370000</v>
      </c>
      <c r="V32" s="355">
        <f>Tableau1[[#This Row],[CEO_remuneration]]/Tableau1[[#This Row],[average_remuneration]]</f>
        <v>341.23975349692307</v>
      </c>
      <c r="W32" s="340">
        <f>Tableau1[[#This Row],[Dividends+Buybacks]]/Tableau1[[#This Row],[net_profit]]</f>
        <v>0.24900291684028811</v>
      </c>
    </row>
    <row r="33" spans="1:23" x14ac:dyDescent="0.3">
      <c r="A33" s="231" t="s">
        <v>22</v>
      </c>
      <c r="B33" s="231" t="s">
        <v>60</v>
      </c>
      <c r="C33" s="231">
        <v>2022</v>
      </c>
      <c r="D33" s="351" t="s">
        <v>673</v>
      </c>
      <c r="E33" s="231">
        <v>530000000</v>
      </c>
      <c r="F33" s="352" t="s">
        <v>157</v>
      </c>
      <c r="G33" s="231" t="s">
        <v>675</v>
      </c>
      <c r="H33" s="231">
        <f>4323000000*0.9363</f>
        <v>4047624900</v>
      </c>
      <c r="I33" s="231">
        <v>3679000000</v>
      </c>
      <c r="J33" s="231">
        <v>51370</v>
      </c>
      <c r="K33" s="231">
        <f t="shared" si="0"/>
        <v>71617.67568619817</v>
      </c>
      <c r="L33" s="231" t="s">
        <v>155</v>
      </c>
      <c r="M33" s="231" t="s">
        <v>156</v>
      </c>
      <c r="N33" s="231" t="s">
        <v>64</v>
      </c>
      <c r="O33" s="353">
        <v>6773065.0669</v>
      </c>
      <c r="P33" s="354">
        <v>1173770.1381999999</v>
      </c>
      <c r="Q33" s="354">
        <v>2351920.2608000003</v>
      </c>
      <c r="R33" s="354">
        <v>0</v>
      </c>
      <c r="S33" s="354">
        <v>1917145.8196</v>
      </c>
      <c r="T33" s="354">
        <v>905901.43929999997</v>
      </c>
      <c r="U33" s="354">
        <v>424327.40899999999</v>
      </c>
      <c r="V33" s="355">
        <f>Tableau1[[#This Row],[CEO_remuneration]]/Tableau1[[#This Row],[average_remuneration]]</f>
        <v>94.572533972996197</v>
      </c>
      <c r="W33" s="340">
        <f>Tableau1[[#This Row],[Dividends+Buybacks]]/Tableau1[[#This Row],[net_profit]]</f>
        <v>0.13094098714532565</v>
      </c>
    </row>
    <row r="34" spans="1:23" x14ac:dyDescent="0.3">
      <c r="A34" s="231" t="s">
        <v>3</v>
      </c>
      <c r="B34" s="231" t="s">
        <v>60</v>
      </c>
      <c r="C34" s="231">
        <v>2022</v>
      </c>
      <c r="D34" s="351" t="s">
        <v>673</v>
      </c>
      <c r="E34" s="231">
        <v>349000000</v>
      </c>
      <c r="F34" s="352" t="s">
        <v>4</v>
      </c>
      <c r="G34" s="231" t="s">
        <v>675</v>
      </c>
      <c r="H34" s="231">
        <v>645000000</v>
      </c>
      <c r="I34" s="231">
        <v>5148000000</v>
      </c>
      <c r="J34" s="231">
        <v>379418</v>
      </c>
      <c r="K34" s="231">
        <f t="shared" si="0"/>
        <v>13568.149112588228</v>
      </c>
      <c r="L34" s="231" t="s">
        <v>123</v>
      </c>
      <c r="M34" s="231" t="s">
        <v>124</v>
      </c>
      <c r="N34" s="231" t="s">
        <v>64</v>
      </c>
      <c r="O34" s="353">
        <v>19717238</v>
      </c>
      <c r="P34" s="354">
        <v>2492877</v>
      </c>
      <c r="Q34" s="354">
        <v>2492877</v>
      </c>
      <c r="R34" s="354">
        <v>0</v>
      </c>
      <c r="S34" s="354">
        <v>14664250</v>
      </c>
      <c r="T34" s="354">
        <v>67234</v>
      </c>
      <c r="U34" s="354">
        <v>0</v>
      </c>
      <c r="V34" s="355">
        <f>Tableau1[[#This Row],[CEO_remuneration]]/Tableau1[[#This Row],[average_remuneration]]</f>
        <v>1453.2002734040404</v>
      </c>
      <c r="W34" s="340">
        <f>Tableau1[[#This Row],[Dividends+Buybacks]]/Tableau1[[#This Row],[net_profit]]</f>
        <v>0.54108527131782946</v>
      </c>
    </row>
    <row r="35" spans="1:23" x14ac:dyDescent="0.3">
      <c r="A35" s="231" t="s">
        <v>49</v>
      </c>
      <c r="B35" s="231" t="s">
        <v>60</v>
      </c>
      <c r="C35" s="231">
        <v>2022</v>
      </c>
      <c r="D35" s="351" t="s">
        <v>673</v>
      </c>
      <c r="E35" s="231">
        <v>884000000</v>
      </c>
      <c r="F35" s="352" t="s">
        <v>141</v>
      </c>
      <c r="G35" s="231" t="s">
        <v>675</v>
      </c>
      <c r="H35" s="231">
        <v>1556000000</v>
      </c>
      <c r="I35" s="231">
        <v>7666700000</v>
      </c>
      <c r="J35" s="231">
        <v>76776</v>
      </c>
      <c r="K35" s="231">
        <f t="shared" si="0"/>
        <v>99858.02855058873</v>
      </c>
      <c r="L35" s="231" t="s">
        <v>139</v>
      </c>
      <c r="M35" s="231" t="s">
        <v>140</v>
      </c>
      <c r="N35" s="231" t="s">
        <v>64</v>
      </c>
      <c r="O35" s="353">
        <v>3140349</v>
      </c>
      <c r="P35" s="354">
        <v>850000</v>
      </c>
      <c r="Q35" s="354">
        <v>1119603</v>
      </c>
      <c r="R35" s="354"/>
      <c r="S35" s="354">
        <v>849879</v>
      </c>
      <c r="T35" s="354">
        <v>50200</v>
      </c>
      <c r="U35" s="354">
        <v>270667</v>
      </c>
      <c r="V35" s="355">
        <f>Tableau1[[#This Row],[CEO_remuneration]]/Tableau1[[#This Row],[average_remuneration]]</f>
        <v>31.448137376446187</v>
      </c>
      <c r="W35" s="340">
        <f>Tableau1[[#This Row],[Dividends+Buybacks]]/Tableau1[[#This Row],[net_profit]]</f>
        <v>0.56812339331619532</v>
      </c>
    </row>
    <row r="36" spans="1:23" x14ac:dyDescent="0.3">
      <c r="A36" s="231" t="s">
        <v>35</v>
      </c>
      <c r="B36" s="231" t="s">
        <v>60</v>
      </c>
      <c r="C36" s="231">
        <v>2022</v>
      </c>
      <c r="D36" s="351" t="s">
        <v>673</v>
      </c>
      <c r="E36" s="231">
        <f>17005000000/1.05</f>
        <v>16195238095.238094</v>
      </c>
      <c r="F36" s="352" t="s">
        <v>61</v>
      </c>
      <c r="G36" s="231" t="s">
        <v>675</v>
      </c>
      <c r="H36" s="231">
        <f>20526000000/1.05</f>
        <v>19548571428.571426</v>
      </c>
      <c r="I36" s="231">
        <f>9002000000/1.05</f>
        <v>8573333333.333333</v>
      </c>
      <c r="J36" s="231">
        <v>101279</v>
      </c>
      <c r="K36" s="231">
        <f t="shared" si="0"/>
        <v>84650.651500640146</v>
      </c>
      <c r="L36" s="231" t="s">
        <v>67</v>
      </c>
      <c r="M36" s="231" t="s">
        <v>68</v>
      </c>
      <c r="N36" s="231" t="s">
        <v>64</v>
      </c>
      <c r="O36" s="353">
        <v>7331079</v>
      </c>
      <c r="P36" s="354">
        <v>1550000</v>
      </c>
      <c r="Q36" s="354">
        <v>2731875</v>
      </c>
      <c r="R36" s="354"/>
      <c r="S36" s="354">
        <v>2977600</v>
      </c>
      <c r="T36" s="354">
        <v>71604</v>
      </c>
      <c r="U36" s="354"/>
      <c r="V36" s="355">
        <f>Tableau1[[#This Row],[CEO_remuneration]]/Tableau1[[#This Row],[average_remuneration]]</f>
        <v>86.603928853926902</v>
      </c>
      <c r="W36" s="340">
        <f>Tableau1[[#This Row],[Dividends+Buybacks]]/Tableau1[[#This Row],[net_profit]]</f>
        <v>0.82846146350969507</v>
      </c>
    </row>
    <row r="37" spans="1:23" x14ac:dyDescent="0.3">
      <c r="A37" s="231" t="s">
        <v>57</v>
      </c>
      <c r="B37" s="231" t="s">
        <v>60</v>
      </c>
      <c r="C37" s="231">
        <v>2022</v>
      </c>
      <c r="D37" s="351" t="s">
        <v>673</v>
      </c>
      <c r="E37" s="231">
        <v>0</v>
      </c>
      <c r="F37" s="352" t="s">
        <v>167</v>
      </c>
      <c r="G37" s="231" t="s">
        <v>675</v>
      </c>
      <c r="H37" s="231">
        <v>178200000</v>
      </c>
      <c r="I37" s="231">
        <v>365900000</v>
      </c>
      <c r="J37" s="231">
        <v>2660</v>
      </c>
      <c r="K37" s="231">
        <f t="shared" si="0"/>
        <v>137556.3909774436</v>
      </c>
      <c r="L37" s="231" t="s">
        <v>168</v>
      </c>
      <c r="M37" s="231" t="s">
        <v>169</v>
      </c>
      <c r="N37" s="231" t="s">
        <v>64</v>
      </c>
      <c r="O37" s="353">
        <v>3838899</v>
      </c>
      <c r="P37" s="354">
        <v>1000000</v>
      </c>
      <c r="Q37" s="354">
        <v>1256238</v>
      </c>
      <c r="R37" s="354">
        <v>79890</v>
      </c>
      <c r="S37" s="354">
        <v>1070122</v>
      </c>
      <c r="T37" s="354">
        <v>114402</v>
      </c>
      <c r="U37" s="354">
        <v>318247</v>
      </c>
      <c r="V37" s="355">
        <f>Tableau1[[#This Row],[CEO_remuneration]]/Tableau1[[#This Row],[average_remuneration]]</f>
        <v>27.907820005465975</v>
      </c>
      <c r="W37" s="340">
        <f>Tableau1[[#This Row],[Dividends+Buybacks]]/Tableau1[[#This Row],[net_profit]]</f>
        <v>0</v>
      </c>
    </row>
    <row r="38" spans="1:23" x14ac:dyDescent="0.3">
      <c r="A38" s="231" t="s">
        <v>50</v>
      </c>
      <c r="B38" s="231" t="s">
        <v>60</v>
      </c>
      <c r="C38" s="231">
        <v>2022</v>
      </c>
      <c r="D38" s="351" t="s">
        <v>673</v>
      </c>
      <c r="E38" s="231">
        <v>688000000</v>
      </c>
      <c r="F38" s="352" t="s">
        <v>142</v>
      </c>
      <c r="G38" s="231" t="s">
        <v>675</v>
      </c>
      <c r="H38" s="231">
        <v>715820000</v>
      </c>
      <c r="I38" s="231">
        <v>10746900000</v>
      </c>
      <c r="J38" s="231">
        <v>207393</v>
      </c>
      <c r="K38" s="231">
        <f t="shared" si="0"/>
        <v>51819.010284821568</v>
      </c>
      <c r="L38" s="231" t="s">
        <v>114</v>
      </c>
      <c r="M38" s="231" t="s">
        <v>143</v>
      </c>
      <c r="N38" s="231" t="s">
        <v>64</v>
      </c>
      <c r="O38" s="353">
        <v>2910073</v>
      </c>
      <c r="P38" s="354">
        <v>1030000</v>
      </c>
      <c r="Q38" s="354">
        <v>1528576</v>
      </c>
      <c r="R38" s="354"/>
      <c r="S38" s="354">
        <v>350584</v>
      </c>
      <c r="T38" s="354">
        <v>913</v>
      </c>
      <c r="U38" s="354"/>
      <c r="V38" s="355">
        <f>Tableau1[[#This Row],[CEO_remuneration]]/Tableau1[[#This Row],[average_remuneration]]</f>
        <v>56.158405650838851</v>
      </c>
      <c r="W38" s="340">
        <f>Tableau1[[#This Row],[Dividends+Buybacks]]/Tableau1[[#This Row],[net_profit]]</f>
        <v>0.96113548098684032</v>
      </c>
    </row>
    <row r="39" spans="1:23" x14ac:dyDescent="0.3">
      <c r="A39" s="231" t="s">
        <v>40</v>
      </c>
      <c r="B39" s="231" t="s">
        <v>60</v>
      </c>
      <c r="C39" s="231">
        <v>2022</v>
      </c>
      <c r="D39" s="351" t="s">
        <v>673</v>
      </c>
      <c r="E39" s="231">
        <v>2887000000</v>
      </c>
      <c r="F39" s="352" t="s">
        <v>95</v>
      </c>
      <c r="G39" s="231" t="s">
        <v>675</v>
      </c>
      <c r="H39" s="231">
        <v>4259000000</v>
      </c>
      <c r="I39" s="231">
        <v>14979000000</v>
      </c>
      <c r="J39" s="231">
        <v>265303</v>
      </c>
      <c r="K39" s="231">
        <f t="shared" si="0"/>
        <v>56459.972182749538</v>
      </c>
      <c r="L39" s="231" t="s">
        <v>96</v>
      </c>
      <c r="M39" s="231" t="s">
        <v>97</v>
      </c>
      <c r="N39" s="231" t="s">
        <v>64</v>
      </c>
      <c r="O39" s="353">
        <v>6313100</v>
      </c>
      <c r="P39" s="354">
        <v>1271944</v>
      </c>
      <c r="Q39" s="354">
        <v>2007200</v>
      </c>
      <c r="R39" s="354"/>
      <c r="S39" s="354">
        <v>2689750</v>
      </c>
      <c r="T39" s="354">
        <v>5574</v>
      </c>
      <c r="U39" s="354">
        <v>338632</v>
      </c>
      <c r="V39" s="355">
        <f>Tableau1[[#This Row],[CEO_remuneration]]/Tableau1[[#This Row],[average_remuneration]]</f>
        <v>111.81549965284732</v>
      </c>
      <c r="W39" s="340">
        <f>Tableau1[[#This Row],[Dividends+Buybacks]]/Tableau1[[#This Row],[net_profit]]</f>
        <v>0.67785865226579012</v>
      </c>
    </row>
    <row r="40" spans="1:23" x14ac:dyDescent="0.3">
      <c r="A40" s="231" t="s">
        <v>53</v>
      </c>
      <c r="B40" s="231" t="s">
        <v>60</v>
      </c>
      <c r="C40" s="231">
        <v>2022</v>
      </c>
      <c r="D40" s="351" t="s">
        <v>673</v>
      </c>
      <c r="E40" s="231">
        <v>562000000</v>
      </c>
      <c r="F40" s="352" t="s">
        <v>149</v>
      </c>
      <c r="G40" s="231" t="s">
        <v>675</v>
      </c>
      <c r="H40" s="231">
        <v>-1010000000</v>
      </c>
      <c r="I40" s="231">
        <v>2697000000</v>
      </c>
      <c r="J40" s="231">
        <v>38315</v>
      </c>
      <c r="K40" s="231">
        <f t="shared" si="0"/>
        <v>70390.186610987861</v>
      </c>
      <c r="L40" s="231" t="s">
        <v>150</v>
      </c>
      <c r="M40" s="231" t="s">
        <v>151</v>
      </c>
      <c r="N40" s="231" t="s">
        <v>64</v>
      </c>
      <c r="O40" s="359">
        <v>4308103</v>
      </c>
      <c r="P40" s="360">
        <v>2000000</v>
      </c>
      <c r="Q40" s="360">
        <v>1700000</v>
      </c>
      <c r="R40" s="360"/>
      <c r="S40" s="360">
        <v>569400</v>
      </c>
      <c r="T40" s="360">
        <v>38703</v>
      </c>
      <c r="U40" s="360"/>
      <c r="V40" s="355">
        <f>Tableau1[[#This Row],[CEO_remuneration]]/Tableau1[[#This Row],[average_remuneration]]</f>
        <v>61.203176286614756</v>
      </c>
      <c r="W40" s="340">
        <f>Tableau1[[#This Row],[Dividends+Buybacks]]/Tableau1[[#This Row],[net_profit]]</f>
        <v>-0.55643564356435649</v>
      </c>
    </row>
    <row r="41" spans="1:23" x14ac:dyDescent="0.3">
      <c r="A41" s="231" t="s">
        <v>58</v>
      </c>
      <c r="B41" s="231" t="s">
        <v>60</v>
      </c>
      <c r="C41" s="231">
        <v>2022</v>
      </c>
      <c r="D41" s="351" t="s">
        <v>673</v>
      </c>
      <c r="E41" s="231">
        <v>0</v>
      </c>
      <c r="F41" s="352" t="s">
        <v>170</v>
      </c>
      <c r="G41" s="231" t="s">
        <v>675</v>
      </c>
      <c r="H41" s="231">
        <v>299200000</v>
      </c>
      <c r="I41" s="231">
        <v>1394700000</v>
      </c>
      <c r="J41" s="231">
        <v>25268</v>
      </c>
      <c r="K41" s="231">
        <f t="shared" si="0"/>
        <v>55196.295709988917</v>
      </c>
      <c r="L41" s="231" t="s">
        <v>161</v>
      </c>
      <c r="M41" s="231" t="s">
        <v>171</v>
      </c>
      <c r="N41" s="231" t="s">
        <v>64</v>
      </c>
      <c r="O41" s="353">
        <v>3125927</v>
      </c>
      <c r="P41" s="354">
        <v>750000</v>
      </c>
      <c r="Q41" s="354">
        <v>994798</v>
      </c>
      <c r="R41" s="354">
        <v>291822</v>
      </c>
      <c r="S41" s="354">
        <v>1077872</v>
      </c>
      <c r="T41" s="354">
        <v>11435</v>
      </c>
      <c r="U41" s="354"/>
      <c r="V41" s="355">
        <f>Tableau1[[#This Row],[CEO_remuneration]]/Tableau1[[#This Row],[average_remuneration]]</f>
        <v>56.632912766903281</v>
      </c>
      <c r="W41" s="340">
        <f>Tableau1[[#This Row],[Dividends+Buybacks]]/Tableau1[[#This Row],[net_profit]]</f>
        <v>0</v>
      </c>
    </row>
    <row r="42" spans="1:23" s="330" customFormat="1" ht="21.6" thickBot="1" x14ac:dyDescent="0.45">
      <c r="A42" s="349" t="s">
        <v>639</v>
      </c>
      <c r="B42" s="349" t="s">
        <v>60</v>
      </c>
      <c r="C42" s="349" t="s">
        <v>640</v>
      </c>
      <c r="D42" s="349"/>
      <c r="E42" s="349">
        <f>AVERAGE(Tableau1[Dividends+Buybacks])</f>
        <v>2075530952.3809524</v>
      </c>
      <c r="F42" s="349"/>
      <c r="G42" s="349"/>
      <c r="H42" s="349">
        <f>AVERAGE(Tableau1[net_profit])</f>
        <v>3801325408.2142854</v>
      </c>
      <c r="I42" s="349">
        <f>AVERAGE(Tableau1[personnel_expenses])</f>
        <v>7471155833.333334</v>
      </c>
      <c r="J42" s="349">
        <f>AVERAGE(Tableau1[number_of_employees])</f>
        <v>126505.925</v>
      </c>
      <c r="K42" s="349">
        <f>AVERAGE(Tableau1[average_remuneration])</f>
        <v>70505.480292519962</v>
      </c>
      <c r="L42" s="349"/>
      <c r="M42" s="349"/>
      <c r="N42" s="349"/>
      <c r="O42" s="349">
        <f>AVERAGE(Tableau1[CEO_remuneration])</f>
        <v>6659169.6291724993</v>
      </c>
      <c r="P42" s="349">
        <f>AVERAGE(Tableau1[CEO_remuneration_fixe])</f>
        <v>1328914.0299526316</v>
      </c>
      <c r="Q42" s="349">
        <f>AVERAGE(Tableau1[CEO_remuneration_variable])</f>
        <v>1939762.1673189187</v>
      </c>
      <c r="R42" s="364">
        <f>AVERAGE(Tableau1[CEO_remuneration_bonus])</f>
        <v>298420</v>
      </c>
      <c r="S42" s="364">
        <f>AVERAGE(Tableau1[CEO_remuneration_shares])</f>
        <v>3515867.110274286</v>
      </c>
      <c r="T42" s="364">
        <f>AVERAGE(Tableau1[CEO_remuneration_other])</f>
        <v>108462.77581388889</v>
      </c>
      <c r="U42" s="364">
        <f>AVERAGE(Tableau1[CEO_remuneration_retirement])</f>
        <v>376517.06993333338</v>
      </c>
      <c r="V42" s="365">
        <f>AVERAGE(Tableau1[CEO-to-worker_wage_gap])</f>
        <v>130.42252325758656</v>
      </c>
      <c r="W42" s="366">
        <f>AVERAGE(Tableau1[payout_ratio (dividends + buybacks / net profit)])</f>
        <v>0.75575888907642463</v>
      </c>
    </row>
    <row r="43" spans="1:23" s="330" customFormat="1" ht="21.6" thickTop="1" x14ac:dyDescent="0.4">
      <c r="A43" s="331" t="s">
        <v>641</v>
      </c>
      <c r="B43" s="350" t="s">
        <v>642</v>
      </c>
      <c r="C43" s="350">
        <v>2022</v>
      </c>
      <c r="D43" s="342">
        <f>SUM(Tableau1[CEO_name])</f>
        <v>0</v>
      </c>
      <c r="E43" s="342">
        <f>SUM(Tableau1[Dividends+Buybacks])</f>
        <v>83021238095.238098</v>
      </c>
      <c r="F43" s="331"/>
      <c r="G43" s="331"/>
      <c r="H43" s="342">
        <f>SUM(Tableau1[net_profit])</f>
        <v>152053016328.57141</v>
      </c>
      <c r="I43" s="342">
        <f>SUM(Tableau1[personnel_expenses])</f>
        <v>298846233333.33337</v>
      </c>
      <c r="J43" s="342">
        <f>SUM(Tableau1[number_of_employees])</f>
        <v>5060237</v>
      </c>
      <c r="K43" s="342">
        <f>I43/J43</f>
        <v>59057.754277780543</v>
      </c>
      <c r="L43" s="331"/>
      <c r="M43" s="331"/>
      <c r="N43" s="342">
        <f>SUM(Tableau1[CEO_gender])</f>
        <v>0</v>
      </c>
      <c r="O43" s="342">
        <f>SUM(Tableau1[CEO_remuneration])</f>
        <v>266366785.16689998</v>
      </c>
      <c r="P43" s="342">
        <f>SUM(Tableau1[CEO_remuneration_fixe])</f>
        <v>50498733.1382</v>
      </c>
      <c r="Q43" s="342">
        <f>SUM(Tableau1[CEO_remuneration_variable])</f>
        <v>71771200.190799996</v>
      </c>
      <c r="R43" s="342">
        <f>SUM(Tableau1[CEO_remuneration_bonus])</f>
        <v>2984200</v>
      </c>
      <c r="S43" s="342">
        <f>SUM(Tableau1[CEO_remuneration_shares])</f>
        <v>123055348.85960001</v>
      </c>
      <c r="T43" s="342">
        <f>SUM(Tableau1[CEO_remuneration_other])</f>
        <v>3904659.9293</v>
      </c>
      <c r="U43" s="342">
        <f>SUM(Tableau1[CEO_remuneration_retirement])</f>
        <v>5647756.0490000006</v>
      </c>
      <c r="V43" s="349"/>
      <c r="W43" s="331"/>
    </row>
    <row r="44" spans="1:23" x14ac:dyDescent="0.3">
      <c r="O44" s="104"/>
      <c r="P44" s="104"/>
      <c r="Q44" s="104"/>
      <c r="R44" s="104"/>
      <c r="S44" s="104"/>
      <c r="T44" s="104"/>
    </row>
    <row r="45" spans="1:23" x14ac:dyDescent="0.3">
      <c r="H45" s="101"/>
    </row>
  </sheetData>
  <hyperlinks>
    <hyperlink ref="F34" r:id="rId1"/>
    <hyperlink ref="F13" r:id="rId2"/>
    <hyperlink ref="F32" r:id="rId3"/>
    <hyperlink ref="F10" r:id="rId4"/>
    <hyperlink ref="F24" r:id="rId5"/>
    <hyperlink ref="F15" r:id="rId6"/>
    <hyperlink ref="F12" r:id="rId7"/>
    <hyperlink ref="F9" r:id="rId8"/>
    <hyperlink ref="F36" r:id="rId9"/>
    <hyperlink ref="F20" r:id="rId10"/>
    <hyperlink ref="F28" r:id="rId11"/>
    <hyperlink ref="F21" r:id="rId12"/>
    <hyperlink ref="F26" r:id="rId13"/>
    <hyperlink ref="F30" r:id="rId14"/>
    <hyperlink ref="F29" r:id="rId15"/>
    <hyperlink ref="F7" r:id="rId16"/>
    <hyperlink ref="F6" r:id="rId17"/>
    <hyperlink ref="F11" r:id="rId18"/>
    <hyperlink ref="F39" r:id="rId19"/>
    <hyperlink ref="F31" r:id="rId20"/>
    <hyperlink ref="F14" r:id="rId21"/>
    <hyperlink ref="F23" r:id="rId22"/>
    <hyperlink ref="F3" r:id="rId23"/>
    <hyperlink ref="F17" r:id="rId24"/>
    <hyperlink ref="F22" r:id="rId25"/>
    <hyperlink ref="F8" r:id="rId26"/>
    <hyperlink ref="F35" r:id="rId27"/>
    <hyperlink ref="F38" r:id="rId28"/>
    <hyperlink ref="F27" r:id="rId29"/>
    <hyperlink ref="F25" r:id="rId30"/>
    <hyperlink ref="F40" r:id="rId31"/>
    <hyperlink ref="F5" r:id="rId32"/>
    <hyperlink ref="F33" r:id="rId33"/>
    <hyperlink ref="F19" r:id="rId34"/>
    <hyperlink ref="F16" r:id="rId35"/>
    <hyperlink ref="F4" r:id="rId36"/>
    <hyperlink ref="F37" r:id="rId37"/>
    <hyperlink ref="F41" r:id="rId38"/>
    <hyperlink ref="D2" r:id="rId39"/>
    <hyperlink ref="D3:D41" r:id="rId40" display="https://www.vernimmen.net/Lire/Lettre_Vernimmen/Lettre_204.html"/>
  </hyperlinks>
  <pageMargins left="0.7" right="0.7" top="0.75" bottom="0.75" header="0.3" footer="0.3"/>
  <pageSetup paperSize="9" orientation="portrait" r:id="rId41"/>
  <legacyDrawing r:id="rId42"/>
  <tableParts count="1">
    <tablePart r:id="rId4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7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260</v>
      </c>
      <c r="B2" s="52" t="s">
        <v>8</v>
      </c>
      <c r="C2" s="53" t="s">
        <v>220</v>
      </c>
      <c r="D2" s="54">
        <f>SUM(Table_35456733[[#This Row],[Fixe]:[Retraite ]])</f>
        <v>6572616</v>
      </c>
      <c r="E2" s="55">
        <v>1200000</v>
      </c>
      <c r="F2" s="55">
        <v>943200</v>
      </c>
      <c r="G2" s="56"/>
      <c r="H2" s="55">
        <v>4282717</v>
      </c>
      <c r="I2" s="55">
        <f>93931+52768</f>
        <v>146699</v>
      </c>
      <c r="J2" s="57"/>
      <c r="K2" s="58">
        <f>((J11*J7)*F2+(J24*J20)*G2+(J33*J29)*H2)/((J7*F2)+(J20*G2)+(J29*H2))</f>
        <v>1</v>
      </c>
      <c r="L2" s="59">
        <f>1-K2</f>
        <v>0</v>
      </c>
      <c r="M2" s="59">
        <f>(J7*F2+J20*G2+J29*H2)
/(F2+G2+H2)</f>
        <v>0.78195149291502331</v>
      </c>
      <c r="N2" s="60">
        <f>(J7*F2+J20*G2+J29*H2)/D2</f>
        <v>0.62173320333943138</v>
      </c>
      <c r="O2" s="61">
        <f>(F2*J10+G2*J23+H2*J32)/D2</f>
        <v>0</v>
      </c>
      <c r="P2" s="62">
        <f>(J8*F2+J21*G2+J30*H2)/D2</f>
        <v>0.1733713638526882</v>
      </c>
      <c r="Q2" s="62">
        <f>(J9*F2+J22*G2+J31*H2)/D2</f>
        <v>0.14467046302415965</v>
      </c>
      <c r="R2" s="62">
        <f>(J13*F2+J26*G2+J35*H2)/(F2+G2+H2)</f>
        <v>1.8048507084976666E-2</v>
      </c>
      <c r="S2" s="62">
        <f>(J13*F2+J26*G2+J35*H2)/D2</f>
        <v>1.4350450414264275E-2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41" t="s">
        <v>261</v>
      </c>
      <c r="C7" s="10">
        <v>0.35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0.7</v>
      </c>
      <c r="K7" s="65"/>
      <c r="L7" s="65" t="s">
        <v>266</v>
      </c>
      <c r="M7" s="65"/>
      <c r="N7" s="30"/>
      <c r="O7" s="63"/>
      <c r="P7" s="30"/>
      <c r="Q7" s="30"/>
    </row>
    <row r="8" spans="1:24" ht="15" thickBot="1" x14ac:dyDescent="0.35">
      <c r="A8" s="8" t="s">
        <v>192</v>
      </c>
      <c r="B8" t="s">
        <v>262</v>
      </c>
      <c r="C8" s="10">
        <v>0.35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0.30000000000000004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t="s">
        <v>263</v>
      </c>
      <c r="C9" s="10">
        <v>0.1</v>
      </c>
      <c r="D9" s="11" t="s">
        <v>196</v>
      </c>
      <c r="E9" s="11" t="s">
        <v>197</v>
      </c>
      <c r="F9" s="11"/>
      <c r="G9" s="16" t="s">
        <v>247</v>
      </c>
      <c r="H9" s="8" t="s">
        <v>225</v>
      </c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t="s">
        <v>264</v>
      </c>
      <c r="C10" s="10">
        <v>0.1</v>
      </c>
      <c r="D10" s="11" t="s">
        <v>196</v>
      </c>
      <c r="E10" s="11" t="s">
        <v>197</v>
      </c>
      <c r="F10" s="11"/>
      <c r="G10" s="16" t="s">
        <v>247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t="s">
        <v>265</v>
      </c>
      <c r="C11" s="10">
        <v>0.1</v>
      </c>
      <c r="D11" s="11" t="s">
        <v>196</v>
      </c>
      <c r="E11" s="11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C12" s="18"/>
      <c r="D12" s="19"/>
      <c r="E12" s="19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7"/>
      <c r="C13" s="18"/>
      <c r="D13" s="19"/>
      <c r="E13" s="19"/>
      <c r="F13" s="19"/>
      <c r="G13" s="20"/>
      <c r="H13" s="20"/>
      <c r="I13" s="44" t="s">
        <v>687</v>
      </c>
      <c r="J13" s="45">
        <f>(SUMIFS(C7:C17,E7:E17,"NF",H7:H17,"OUI"))</f>
        <v>0.1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7"/>
      <c r="C14" s="1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21"/>
      <c r="C15" s="22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36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L26" s="65"/>
      <c r="M26" s="65"/>
      <c r="N26" s="30"/>
      <c r="O26" s="30"/>
      <c r="P26" s="30"/>
      <c r="Q26" s="30"/>
    </row>
    <row r="27" spans="1:17" ht="15" thickBot="1" x14ac:dyDescent="0.35"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209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t="s">
        <v>267</v>
      </c>
      <c r="C29" s="40">
        <v>0.4</v>
      </c>
      <c r="D29" s="33" t="s">
        <v>191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0.8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t="s">
        <v>262</v>
      </c>
      <c r="C30" s="42">
        <v>0.4</v>
      </c>
      <c r="D30" s="11" t="s">
        <v>191</v>
      </c>
      <c r="E30" s="11" t="s">
        <v>103</v>
      </c>
      <c r="F30" s="12"/>
      <c r="G30" s="16"/>
      <c r="H30" s="8"/>
      <c r="I30" s="44" t="s">
        <v>212</v>
      </c>
      <c r="J30" s="45">
        <f>SUMIF(E29:E32,"NF",C29:C32)</f>
        <v>0.2</v>
      </c>
      <c r="L30" s="65"/>
      <c r="M30" s="65"/>
    </row>
    <row r="31" spans="1:17" ht="15" thickBot="1" x14ac:dyDescent="0.35">
      <c r="A31" s="8" t="s">
        <v>194</v>
      </c>
      <c r="B31" t="s">
        <v>268</v>
      </c>
      <c r="C31" s="40">
        <v>0.1</v>
      </c>
      <c r="D31" s="33" t="s">
        <v>237</v>
      </c>
      <c r="E31" s="33" t="s">
        <v>197</v>
      </c>
      <c r="F31" s="34"/>
      <c r="G31" s="35" t="s">
        <v>225</v>
      </c>
      <c r="H31" s="8"/>
      <c r="I31" s="44" t="s">
        <v>213</v>
      </c>
      <c r="J31" s="45">
        <f>SUMIFS(C29:C32,E29:E32,"NF",G29:G32,"OUI")</f>
        <v>0.2</v>
      </c>
      <c r="L31" s="65"/>
      <c r="M31" s="65"/>
    </row>
    <row r="32" spans="1:17" ht="15" thickBot="1" x14ac:dyDescent="0.35">
      <c r="A32" s="25" t="s">
        <v>198</v>
      </c>
      <c r="B32" t="s">
        <v>269</v>
      </c>
      <c r="C32" s="67">
        <v>0.1</v>
      </c>
      <c r="D32" s="38" t="s">
        <v>237</v>
      </c>
      <c r="E32" s="38" t="s">
        <v>197</v>
      </c>
      <c r="F32" s="38"/>
      <c r="G32" s="39" t="s">
        <v>225</v>
      </c>
      <c r="H32" s="8"/>
      <c r="I32" s="44" t="s">
        <v>214</v>
      </c>
      <c r="J32" s="45">
        <f>SUMIFS(C29:C32,E29:E32,"F",F29:F32,"oui")</f>
        <v>0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25"/>
      <c r="I33" s="44" t="s">
        <v>239</v>
      </c>
      <c r="J33" s="70">
        <f>SUMIFS(C29:C32,D29:D32,"CT",E29:E32,"F")/J29</f>
        <v>1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I34" s="44" t="s">
        <v>240</v>
      </c>
      <c r="J34" s="45">
        <f>1-J33</f>
        <v>0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1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487</v>
      </c>
      <c r="B2" s="52" t="s">
        <v>54</v>
      </c>
      <c r="C2" s="53" t="s">
        <v>220</v>
      </c>
      <c r="D2" s="54">
        <f>SUM(Table_35456781011141516171819202122232427282935[[#This Row],[Fixe]:[Retraite ]])</f>
        <v>3493114</v>
      </c>
      <c r="E2" s="55">
        <v>900000</v>
      </c>
      <c r="F2" s="55">
        <v>1235700</v>
      </c>
      <c r="G2" s="56"/>
      <c r="H2" s="56">
        <v>1353167</v>
      </c>
      <c r="I2" s="55">
        <v>4247</v>
      </c>
      <c r="J2" s="55"/>
      <c r="K2" s="58">
        <f>((J11*J7)*F2+(J24*J20)*G2+(J33*J29)*H2)/((J7*F2)+(J20*G2)+(J29*H2))</f>
        <v>0.4417874293502721</v>
      </c>
      <c r="L2" s="59">
        <f>1-K2</f>
        <v>0.55821257064972785</v>
      </c>
      <c r="M2" s="59">
        <f>(J7*F2+J20*G2+J29*H2)
/(F2+G2+H2)</f>
        <v>0.7022686951473367</v>
      </c>
      <c r="N2" s="60">
        <f>(J7*F2+J20*G2+J29*H2)/D2</f>
        <v>0.52047549836621421</v>
      </c>
      <c r="O2" s="61">
        <f>(F2*J10+G2*J23+H2*J32)/D2</f>
        <v>9.6845321967734238E-2</v>
      </c>
      <c r="P2" s="62">
        <f>(J8*F2+J21*G2+J30*H2)/D2</f>
        <v>0.22065891637089427</v>
      </c>
      <c r="Q2" s="62">
        <f>(J9*F2+J22*G2+J31*H2)/D2</f>
        <v>3.5375312686617158E-2</v>
      </c>
      <c r="R2" s="62">
        <f>(J13*F2+J26*G2+J35*H2)/(F2+G2+H2)</f>
        <v>2.3865652426331672E-2</v>
      </c>
      <c r="S2" s="62">
        <f>(J13*F2+J26*G2+J35*H2)/D2</f>
        <v>1.7687656343308579E-2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709</v>
      </c>
      <c r="C7" s="87">
        <v>0.15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0.65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488</v>
      </c>
      <c r="C8" s="87">
        <v>0.4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489</v>
      </c>
      <c r="C9" s="87">
        <v>0.1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284</v>
      </c>
      <c r="C10" s="87">
        <v>0.1</v>
      </c>
      <c r="D10" s="23"/>
      <c r="E10" s="11" t="s">
        <v>197</v>
      </c>
      <c r="F10" s="11"/>
      <c r="G10" s="16" t="s">
        <v>225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490</v>
      </c>
      <c r="C11" s="87">
        <v>0.1</v>
      </c>
      <c r="D11" s="23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491</v>
      </c>
      <c r="C12" s="88">
        <v>0.05</v>
      </c>
      <c r="D12" s="23"/>
      <c r="E12" s="19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492</v>
      </c>
      <c r="C13" s="87">
        <v>0.05</v>
      </c>
      <c r="D13" s="23"/>
      <c r="E13" s="19" t="s">
        <v>197</v>
      </c>
      <c r="F13" s="19"/>
      <c r="G13" s="20"/>
      <c r="H13" s="20" t="s">
        <v>225</v>
      </c>
      <c r="I13" s="44" t="s">
        <v>687</v>
      </c>
      <c r="J13" s="45">
        <f>(SUMIFS(C7:C17,E7:E17,"NF",H7:H17,"OUI"))</f>
        <v>0.05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493</v>
      </c>
      <c r="C14" s="88">
        <v>0.05</v>
      </c>
      <c r="D14" s="19"/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494</v>
      </c>
      <c r="C29" s="78">
        <v>0.25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SUMIF(E29:E33,"F",C29:C33)</f>
        <v>0.75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495</v>
      </c>
      <c r="C30" s="78">
        <v>0.25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SUMIF(E29:E33,"NF",C29:C33)</f>
        <v>0.25</v>
      </c>
      <c r="L30" s="65"/>
      <c r="M30" s="65"/>
    </row>
    <row r="31" spans="1:17" ht="15" thickBot="1" x14ac:dyDescent="0.35">
      <c r="A31" s="8" t="s">
        <v>194</v>
      </c>
      <c r="B31" s="86" t="s">
        <v>496</v>
      </c>
      <c r="C31" s="78">
        <v>0.25</v>
      </c>
      <c r="D31" s="33" t="s">
        <v>237</v>
      </c>
      <c r="E31" s="33" t="s">
        <v>197</v>
      </c>
      <c r="F31" s="33"/>
      <c r="G31" s="35"/>
      <c r="H31" s="8"/>
      <c r="I31" s="44" t="s">
        <v>213</v>
      </c>
      <c r="J31" s="45">
        <f>SUMIFS(C29:C33,E29:E33,"NF",G29:G33,"OUI")</f>
        <v>0</v>
      </c>
      <c r="L31" s="65"/>
      <c r="M31" s="65"/>
    </row>
    <row r="32" spans="1:17" ht="15" thickBot="1" x14ac:dyDescent="0.35">
      <c r="A32" s="25" t="s">
        <v>198</v>
      </c>
      <c r="B32" s="38" t="s">
        <v>710</v>
      </c>
      <c r="C32" s="67">
        <v>0.25</v>
      </c>
      <c r="D32" s="38" t="s">
        <v>237</v>
      </c>
      <c r="E32" s="38" t="s">
        <v>103</v>
      </c>
      <c r="F32" s="38" t="s">
        <v>225</v>
      </c>
      <c r="G32" s="39"/>
      <c r="H32" s="8"/>
      <c r="I32" s="44" t="s">
        <v>214</v>
      </c>
      <c r="J32" s="45">
        <f>SUMIFS(C29:C33,E29:E33,"F",F29:F33,"oui")</f>
        <v>0.25</v>
      </c>
      <c r="L32" s="65"/>
      <c r="M32" s="65"/>
    </row>
    <row r="33" spans="1:13" ht="15" thickBot="1" x14ac:dyDescent="0.35">
      <c r="A33" s="25" t="s">
        <v>200</v>
      </c>
      <c r="B33" s="38"/>
      <c r="C33" s="67"/>
      <c r="D33" s="38"/>
      <c r="E33" s="38"/>
      <c r="F33" s="38"/>
      <c r="G33" s="39"/>
      <c r="H33" s="39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83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290</v>
      </c>
      <c r="B2" s="52" t="s">
        <v>17</v>
      </c>
      <c r="C2" s="53" t="s">
        <v>319</v>
      </c>
      <c r="D2" s="54">
        <f>SUM(Table_3545678101136[[#This Row],[Fixe]:[Retraite ]])</f>
        <v>10337194.02</v>
      </c>
      <c r="E2" s="55">
        <v>2000000</v>
      </c>
      <c r="F2" s="55">
        <v>2260000</v>
      </c>
      <c r="G2" s="56"/>
      <c r="H2" s="55">
        <v>6066600</v>
      </c>
      <c r="I2" s="55">
        <v>4217.9399999999996</v>
      </c>
      <c r="J2" s="55">
        <v>6376.08</v>
      </c>
      <c r="K2" s="58">
        <f>((J11*J7)*F2+(J24*J20)*G2+(J33*J29)*H2)/((J7*F2)+(J20*G2)+(J29*H2))</f>
        <v>0.21838280766852194</v>
      </c>
      <c r="L2" s="59">
        <f>1-K2</f>
        <v>0.78161719233147808</v>
      </c>
      <c r="M2" s="59">
        <f>(J7*F2+J20*G2+J29*H2)
/(F2+G2+H2)</f>
        <v>0.74571613864002118</v>
      </c>
      <c r="N2" s="60">
        <f>(J7*F2+J20*G2+J29*H2)/D2</f>
        <v>0.60067364392953515</v>
      </c>
      <c r="O2" s="61">
        <f>(F2*J10+G2*J23+H2*J32)/D2</f>
        <v>2.1862799475635655E-2</v>
      </c>
      <c r="P2" s="62">
        <f>(J8*F2+J21*G2+J30*H2)/D2</f>
        <v>0.20482540967147292</v>
      </c>
      <c r="Q2" s="62">
        <f>(J9*F2+J22*G2+J31*H2)/D2</f>
        <v>0.1556341108512927</v>
      </c>
      <c r="R2" s="62">
        <f>(J13*F2+J26*G2+J35*H2)/(F2+G2+H2)</f>
        <v>0.13642903466000528</v>
      </c>
      <c r="S2" s="62">
        <f>(J13*F2+J26*G2+J35*H2)/D2</f>
        <v>0.10989345830233339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291</v>
      </c>
      <c r="C7" s="19">
        <v>0.15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292</v>
      </c>
      <c r="C8" s="19">
        <v>0.15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293</v>
      </c>
      <c r="C9" s="19">
        <v>0.1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0.17499999999999999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294</v>
      </c>
      <c r="C10" s="19">
        <v>0.1</v>
      </c>
      <c r="D10" s="11" t="s">
        <v>191</v>
      </c>
      <c r="E10" s="11" t="s">
        <v>103</v>
      </c>
      <c r="F10" s="11" t="s">
        <v>225</v>
      </c>
      <c r="G10" s="16"/>
      <c r="H10" s="8"/>
      <c r="I10" s="44" t="s">
        <v>214</v>
      </c>
      <c r="J10" s="45">
        <f>SUMIFS(C7:C17,E7:E17,"F",F7:F17,"oui")</f>
        <v>0.1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295</v>
      </c>
      <c r="C11" s="19">
        <v>0.1</v>
      </c>
      <c r="D11" s="11" t="s">
        <v>191</v>
      </c>
      <c r="E11" s="11" t="s">
        <v>103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296</v>
      </c>
      <c r="C12" s="19">
        <v>0.1</v>
      </c>
      <c r="D12" s="19"/>
      <c r="E12" s="19" t="s">
        <v>197</v>
      </c>
      <c r="F12" s="19"/>
      <c r="G12" s="20" t="s">
        <v>225</v>
      </c>
      <c r="H12" s="20" t="s">
        <v>225</v>
      </c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297</v>
      </c>
      <c r="C13" s="19">
        <v>7.4999999999999997E-2</v>
      </c>
      <c r="D13" s="19"/>
      <c r="E13" s="19" t="s">
        <v>197</v>
      </c>
      <c r="F13" s="19"/>
      <c r="G13" s="20" t="s">
        <v>225</v>
      </c>
      <c r="H13" s="20"/>
      <c r="I13" s="44" t="s">
        <v>687</v>
      </c>
      <c r="J13" s="45">
        <f>(SUMIFS(C7:C17,E7:E17,"NF",H7:H17,"OUI"))</f>
        <v>0.1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711</v>
      </c>
      <c r="C14" s="19">
        <v>7.4999999999999997E-2</v>
      </c>
      <c r="D14" s="19"/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298</v>
      </c>
      <c r="C15" s="19">
        <v>7.4999999999999997E-2</v>
      </c>
      <c r="D15" s="23"/>
      <c r="E15" s="23" t="s">
        <v>197</v>
      </c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 t="s">
        <v>299</v>
      </c>
      <c r="C16" s="19">
        <v>7.4999999999999997E-2</v>
      </c>
      <c r="D16" s="23"/>
      <c r="E16" s="23" t="s">
        <v>197</v>
      </c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301</v>
      </c>
      <c r="C29" s="78">
        <v>0.4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0.8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302</v>
      </c>
      <c r="C30" s="78">
        <v>0.4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SUMIF(E29:E32,"NF",C29:C32)</f>
        <v>0.2</v>
      </c>
      <c r="L30" s="65"/>
      <c r="M30" s="65"/>
    </row>
    <row r="31" spans="1:17" ht="15" thickBot="1" x14ac:dyDescent="0.35">
      <c r="A31" s="8" t="s">
        <v>194</v>
      </c>
      <c r="B31" s="17" t="s">
        <v>303</v>
      </c>
      <c r="C31" s="78">
        <v>0.15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SUMIFS(C29:C32,E29:E32,"NF",G29:G32,"OUI")</f>
        <v>0.2</v>
      </c>
      <c r="L31" s="65"/>
      <c r="M31" s="65"/>
    </row>
    <row r="32" spans="1:17" ht="15" thickBot="1" x14ac:dyDescent="0.35">
      <c r="A32" s="25" t="s">
        <v>198</v>
      </c>
      <c r="B32" s="38" t="s">
        <v>304</v>
      </c>
      <c r="C32" s="67">
        <v>0.05</v>
      </c>
      <c r="D32" s="38"/>
      <c r="E32" s="38" t="s">
        <v>197</v>
      </c>
      <c r="F32" s="38"/>
      <c r="G32" s="39" t="s">
        <v>225</v>
      </c>
      <c r="H32" s="8"/>
      <c r="I32" s="44" t="s">
        <v>214</v>
      </c>
      <c r="J32" s="45">
        <f>SUMIFS(C29:C32,E29:E32,"F",F29:F32,"oui")</f>
        <v>0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4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325</v>
      </c>
      <c r="B2" s="52" t="s">
        <v>18</v>
      </c>
      <c r="C2" s="53" t="s">
        <v>220</v>
      </c>
      <c r="D2" s="54">
        <f>SUM(Table_35456781011141544[[#This Row],[Fixe]:[Retraite ]])</f>
        <v>7940745</v>
      </c>
      <c r="E2" s="55">
        <v>1138307</v>
      </c>
      <c r="F2" s="55">
        <v>2200000</v>
      </c>
      <c r="G2" s="56"/>
      <c r="H2" s="55">
        <v>4483107</v>
      </c>
      <c r="I2" s="55">
        <f>77625+41706</f>
        <v>119331</v>
      </c>
      <c r="J2" s="55"/>
      <c r="K2" s="58">
        <f>((J11*J7)*F2+(J24*J20)*G2+(J33*J29)*H2)/((J7*F2)+(J20*G2)+(J29*H2))</f>
        <v>0.25727779684134788</v>
      </c>
      <c r="L2" s="59">
        <f>1-K2</f>
        <v>0.74272220315865212</v>
      </c>
      <c r="M2" s="59">
        <f>(J7*F2+J20*G2+J29*H2)
/(F2+G2+H2)</f>
        <v>0.76770294864349775</v>
      </c>
      <c r="N2" s="60">
        <f>(J7*F2+J20*G2+J29*H2)/D2</f>
        <v>0.64611581784832539</v>
      </c>
      <c r="O2" s="61">
        <f>(F2*J10+G2*J23+H2*J32)/D2</f>
        <v>0</v>
      </c>
      <c r="P2" s="62">
        <f>(J8*F2+J21*G2+J30*H2)/D2</f>
        <v>0.19550634732635286</v>
      </c>
      <c r="Q2" s="62">
        <f>(J9*F2+J22*G2+J31*H2)/D2</f>
        <v>2.7705209020060462E-2</v>
      </c>
      <c r="R2" s="62">
        <f>(J13*F2+J26*G2+J35*H2)/(F2+G2+H2)</f>
        <v>3.2918820542600917E-2</v>
      </c>
      <c r="S2" s="62">
        <f>(J13*F2+J26*G2+J35*H2)/D2</f>
        <v>2.7705209020060462E-2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243</v>
      </c>
      <c r="C7" s="19">
        <v>0.2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0.60000000000000009</v>
      </c>
      <c r="K7" s="65"/>
      <c r="L7" s="73" t="s">
        <v>470</v>
      </c>
      <c r="M7" s="99" t="s">
        <v>712</v>
      </c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326</v>
      </c>
      <c r="C8" s="19">
        <v>0.2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0.4</v>
      </c>
      <c r="K8" s="65"/>
      <c r="M8" t="s">
        <v>713</v>
      </c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327</v>
      </c>
      <c r="C9" s="19">
        <v>0.2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671</v>
      </c>
      <c r="C10" s="19">
        <v>0.1</v>
      </c>
      <c r="D10" s="11"/>
      <c r="E10" s="11" t="s">
        <v>197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329</v>
      </c>
      <c r="C11" s="19">
        <v>0.1</v>
      </c>
      <c r="D11" s="11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330</v>
      </c>
      <c r="C12" s="19">
        <v>0.1</v>
      </c>
      <c r="D12" s="19"/>
      <c r="E12" s="19" t="s">
        <v>197</v>
      </c>
      <c r="F12" s="19"/>
      <c r="G12" s="20" t="s">
        <v>225</v>
      </c>
      <c r="H12" s="20" t="s">
        <v>225</v>
      </c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331</v>
      </c>
      <c r="C13" s="19">
        <v>0.1</v>
      </c>
      <c r="D13" s="19"/>
      <c r="E13" s="19" t="s">
        <v>197</v>
      </c>
      <c r="F13" s="19"/>
      <c r="G13" s="20"/>
      <c r="H13" s="20"/>
      <c r="I13" s="44" t="s">
        <v>687</v>
      </c>
      <c r="J13" s="45">
        <f>(SUMIFS(C7:C17,E7:E17,"NF",H7:H17,"OUI"))</f>
        <v>0.1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L26" s="65"/>
      <c r="M26" s="65"/>
      <c r="N26" s="30"/>
      <c r="O26" s="30"/>
      <c r="P26" s="30"/>
      <c r="Q26" s="30"/>
    </row>
    <row r="27" spans="1:17" ht="15" thickBot="1" x14ac:dyDescent="0.35"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332</v>
      </c>
      <c r="C29" s="78">
        <v>0.85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0.85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284</v>
      </c>
      <c r="C30" s="78">
        <v>0.15</v>
      </c>
      <c r="D30" s="33" t="s">
        <v>237</v>
      </c>
      <c r="E30" s="33" t="s">
        <v>197</v>
      </c>
      <c r="F30" s="33"/>
      <c r="G30" s="16"/>
      <c r="H30" s="8"/>
      <c r="I30" s="44" t="s">
        <v>212</v>
      </c>
      <c r="J30" s="45">
        <f>SUMIF(E29:E32,"NF",C29:C32)</f>
        <v>0.15</v>
      </c>
      <c r="L30" s="65"/>
      <c r="M30" s="65"/>
    </row>
    <row r="31" spans="1:17" ht="15" thickBot="1" x14ac:dyDescent="0.35">
      <c r="A31" s="8" t="s">
        <v>194</v>
      </c>
      <c r="B31" s="17"/>
      <c r="C31" s="78"/>
      <c r="D31" s="33"/>
      <c r="E31" s="33"/>
      <c r="F31" s="33"/>
      <c r="G31" s="35"/>
      <c r="H31" s="8"/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7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2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419</v>
      </c>
      <c r="B2" s="52" t="s">
        <v>47</v>
      </c>
      <c r="C2" s="53" t="s">
        <v>220</v>
      </c>
      <c r="D2" s="54">
        <f>SUM(Table_354567810111415161718192021222324257[[#This Row],[Fixe]:[Retraite ]])</f>
        <v>2798982.5900000003</v>
      </c>
      <c r="E2" s="55">
        <v>1016670</v>
      </c>
      <c r="F2" s="55">
        <v>905744.43</v>
      </c>
      <c r="G2" s="56"/>
      <c r="H2" s="56">
        <v>866812.76</v>
      </c>
      <c r="I2" s="55">
        <v>9755.4</v>
      </c>
      <c r="J2" s="55"/>
      <c r="K2" s="58">
        <f>((J11*J7)*F2+(J24*J20)*G2+(J33*J29)*H2)/((J7*F2)+(J20*G2)+(J29*H2))</f>
        <v>1</v>
      </c>
      <c r="L2" s="59">
        <f>1-K2</f>
        <v>0</v>
      </c>
      <c r="M2" s="59">
        <f>(J7*F2+J20*G2+J29*H2)
/(F2+G2+H2)</f>
        <v>0.65109817810730275</v>
      </c>
      <c r="N2" s="60">
        <f>(J7*F2+J20*G2+J29*H2)/D2</f>
        <v>0.41233152400565659</v>
      </c>
      <c r="O2" s="61">
        <f>(F2*J10+G2*J23+H2*J32)/D2</f>
        <v>0.15762610156142484</v>
      </c>
      <c r="P2" s="62">
        <f>(J8*F2+J21*G2+J30*H2)/D2</f>
        <v>0.22095472662443391</v>
      </c>
      <c r="Q2" s="62">
        <f>(J9*F2+J22*G2+J31*H2)/D2</f>
        <v>0.22095472662443391</v>
      </c>
      <c r="R2" s="62">
        <f>(J13*F2+J26*G2+J35*H2)/(F2+G2+H2)</f>
        <v>2.5549089053651358E-2</v>
      </c>
      <c r="S2" s="62">
        <f>(J13*F2+J26*G2+J35*H2)/D2</f>
        <v>1.6179886813801152E-2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423</v>
      </c>
      <c r="C7" s="87">
        <v>0.25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0.7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424</v>
      </c>
      <c r="C8" s="87">
        <v>0.25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425</v>
      </c>
      <c r="C9" s="87">
        <v>0.2</v>
      </c>
      <c r="D9" s="23" t="s">
        <v>191</v>
      </c>
      <c r="E9" s="11" t="s">
        <v>103</v>
      </c>
      <c r="F9" s="11" t="s">
        <v>225</v>
      </c>
      <c r="G9" s="16"/>
      <c r="H9" s="8"/>
      <c r="I9" s="44" t="s">
        <v>213</v>
      </c>
      <c r="J9" s="45">
        <f>SUMIFS(C7:C17,E7:E17,"NF",G7:G17,"OUI")</f>
        <v>0.3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426</v>
      </c>
      <c r="C10" s="87">
        <v>0.1</v>
      </c>
      <c r="D10" s="23"/>
      <c r="E10" s="11" t="s">
        <v>197</v>
      </c>
      <c r="F10" s="11"/>
      <c r="G10" s="16" t="s">
        <v>225</v>
      </c>
      <c r="H10" s="8"/>
      <c r="I10" s="44" t="s">
        <v>214</v>
      </c>
      <c r="J10" s="45">
        <f>SUMIFS(C7:C17,E7:E17,"F",F7:F17,"oui")</f>
        <v>0.2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427</v>
      </c>
      <c r="C11" s="87">
        <v>0.05</v>
      </c>
      <c r="D11" s="23"/>
      <c r="E11" s="11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428</v>
      </c>
      <c r="C12" s="88">
        <v>0.05</v>
      </c>
      <c r="D12" s="23"/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429</v>
      </c>
      <c r="C13" s="87">
        <v>0.05</v>
      </c>
      <c r="D13" s="23"/>
      <c r="E13" s="19" t="s">
        <v>197</v>
      </c>
      <c r="F13" s="19"/>
      <c r="G13" s="20" t="s">
        <v>225</v>
      </c>
      <c r="H13" s="20"/>
      <c r="I13" s="44" t="s">
        <v>687</v>
      </c>
      <c r="J13" s="45">
        <f>(SUMIFS(C7:C17,E7:E17,"NF",H7:H17,"OUI"))</f>
        <v>0.05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430</v>
      </c>
      <c r="C14" s="88">
        <v>0.05</v>
      </c>
      <c r="D14" s="19"/>
      <c r="E14" s="19" t="s">
        <v>197</v>
      </c>
      <c r="F14" s="19"/>
      <c r="G14" s="20" t="s">
        <v>225</v>
      </c>
      <c r="H14" s="20" t="s">
        <v>225</v>
      </c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420</v>
      </c>
      <c r="C29" s="78">
        <v>0.3</v>
      </c>
      <c r="D29" s="33" t="s">
        <v>191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0.6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421</v>
      </c>
      <c r="C30" s="78">
        <v>0.4</v>
      </c>
      <c r="D30" s="33"/>
      <c r="E30" s="33" t="s">
        <v>197</v>
      </c>
      <c r="F30" s="33"/>
      <c r="G30" s="16" t="s">
        <v>225</v>
      </c>
      <c r="H30" s="8"/>
      <c r="I30" s="44" t="s">
        <v>212</v>
      </c>
      <c r="J30" s="45">
        <f>SUMIF(E29:E32,"NF",C29:C32)</f>
        <v>0.4</v>
      </c>
      <c r="L30" s="65"/>
      <c r="M30" s="65"/>
    </row>
    <row r="31" spans="1:17" ht="15" thickBot="1" x14ac:dyDescent="0.35">
      <c r="A31" s="8" t="s">
        <v>194</v>
      </c>
      <c r="B31" s="86" t="s">
        <v>422</v>
      </c>
      <c r="C31" s="78">
        <v>0.3</v>
      </c>
      <c r="D31" s="33" t="s">
        <v>191</v>
      </c>
      <c r="E31" s="33" t="s">
        <v>103</v>
      </c>
      <c r="F31" s="33"/>
      <c r="G31" s="35"/>
      <c r="H31" s="8"/>
      <c r="I31" s="44" t="s">
        <v>213</v>
      </c>
      <c r="J31" s="45">
        <f>SUMIFS(C29:C32,E29:E32,"NF",G29:G32,"OUI")</f>
        <v>0.4</v>
      </c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0.3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1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0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1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579</v>
      </c>
      <c r="B2" s="52" t="s">
        <v>43</v>
      </c>
      <c r="C2" s="53" t="s">
        <v>220</v>
      </c>
      <c r="D2" s="54">
        <f>SUM(Table_3545678101114151617181920212223242728293031323334353637383911[[#This Row],[Fixe]:[Retraite ]])</f>
        <v>1977255</v>
      </c>
      <c r="E2" s="55">
        <v>667500</v>
      </c>
      <c r="F2" s="55">
        <v>616970</v>
      </c>
      <c r="G2" s="56">
        <v>66750</v>
      </c>
      <c r="H2" s="56">
        <v>527100</v>
      </c>
      <c r="I2" s="55">
        <f>25583+73352</f>
        <v>98935</v>
      </c>
      <c r="J2" s="55"/>
      <c r="K2" s="58">
        <f>((J11*J7)*F2+(J24*J20)*G2+(J33*J29)*H2)/((J7*F2)+(J20*G2)+(J29*H2))</f>
        <v>0.42248669821204798</v>
      </c>
      <c r="L2" s="59">
        <f>1-K2</f>
        <v>0.57751330178795202</v>
      </c>
      <c r="M2" s="59">
        <f>(J7*F2+J20*G2+J29*H2)
/(F2+G2+H2)</f>
        <v>0.60303348144232838</v>
      </c>
      <c r="N2" s="92">
        <f>(J7*F2+J20*G2+J29*H2)/D2</f>
        <v>0.36928216138029746</v>
      </c>
      <c r="O2" s="61">
        <f>(F2*J10+G2*J23+H2*J32)/D2</f>
        <v>0.10663268015506346</v>
      </c>
      <c r="P2" s="62">
        <f>(J8*F2+J21*G2+J30*H2)/D2</f>
        <v>0.20933314114770224</v>
      </c>
      <c r="Q2" s="62">
        <f>(J9*F2+J22*G2+J31*H2)/D2</f>
        <v>0.20933314114770224</v>
      </c>
      <c r="R2" s="62">
        <f>(J13*F2+J26*G2+J35*H2)/(F2+G2+H2)</f>
        <v>8.7064964239110684E-2</v>
      </c>
      <c r="S2" s="62">
        <f>(J13*F2+J26*G2+J35*H2)/D2</f>
        <v>5.3316340077531728E-2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232"/>
      <c r="M6" s="232"/>
      <c r="N6" s="232"/>
      <c r="O6" s="232"/>
      <c r="P6" s="232"/>
      <c r="Q6" s="232"/>
      <c r="R6" s="231"/>
      <c r="S6" s="231"/>
    </row>
    <row r="7" spans="1:24" ht="15" thickBot="1" x14ac:dyDescent="0.35">
      <c r="A7" s="8" t="s">
        <v>189</v>
      </c>
      <c r="B7" t="s">
        <v>494</v>
      </c>
      <c r="C7" s="87">
        <v>0.15</v>
      </c>
      <c r="D7" s="23" t="s">
        <v>191</v>
      </c>
      <c r="E7" s="23" t="s">
        <v>103</v>
      </c>
      <c r="F7" s="12"/>
      <c r="G7" s="13"/>
      <c r="H7" s="8"/>
      <c r="I7" s="44" t="s">
        <v>211</v>
      </c>
      <c r="J7" s="45">
        <f>SUMIF(E7:E17,"F",C7:C17)</f>
        <v>0.5</v>
      </c>
      <c r="K7" s="65"/>
      <c r="L7" s="240" t="s">
        <v>716</v>
      </c>
      <c r="M7" s="399" t="s">
        <v>717</v>
      </c>
      <c r="N7" s="400"/>
      <c r="O7" s="400"/>
      <c r="P7" s="400"/>
      <c r="Q7" s="400"/>
      <c r="R7" s="400"/>
      <c r="S7" s="400"/>
    </row>
    <row r="8" spans="1:24" ht="15" thickBot="1" x14ac:dyDescent="0.35">
      <c r="A8" s="8" t="s">
        <v>192</v>
      </c>
      <c r="B8" s="89" t="s">
        <v>566</v>
      </c>
      <c r="C8" s="87">
        <v>0.15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0.5</v>
      </c>
      <c r="K8" s="65"/>
      <c r="L8" s="231"/>
      <c r="M8" s="400"/>
      <c r="N8" s="400"/>
      <c r="O8" s="400"/>
      <c r="P8" s="400"/>
      <c r="Q8" s="400"/>
      <c r="R8" s="400"/>
      <c r="S8" s="400"/>
    </row>
    <row r="9" spans="1:24" ht="15" thickBot="1" x14ac:dyDescent="0.35">
      <c r="A9" s="8" t="s">
        <v>194</v>
      </c>
      <c r="B9" s="19" t="s">
        <v>306</v>
      </c>
      <c r="C9" s="87">
        <v>0.2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0.5</v>
      </c>
      <c r="K9" s="65"/>
      <c r="L9" s="237"/>
      <c r="M9" s="400"/>
      <c r="N9" s="400"/>
      <c r="O9" s="400"/>
      <c r="P9" s="400"/>
      <c r="Q9" s="400"/>
      <c r="R9" s="400"/>
      <c r="S9" s="400"/>
    </row>
    <row r="10" spans="1:24" ht="15" thickBot="1" x14ac:dyDescent="0.35">
      <c r="A10" s="8" t="s">
        <v>198</v>
      </c>
      <c r="B10" s="19" t="s">
        <v>580</v>
      </c>
      <c r="C10" s="87">
        <v>0.17</v>
      </c>
      <c r="D10" s="23"/>
      <c r="E10" s="11" t="s">
        <v>197</v>
      </c>
      <c r="F10" s="11"/>
      <c r="G10" s="234" t="s">
        <v>225</v>
      </c>
      <c r="H10" s="231" t="s">
        <v>247</v>
      </c>
      <c r="I10" s="44" t="s">
        <v>214</v>
      </c>
      <c r="J10" s="45">
        <f>SUMIFS(C7:C17,E7:E17,"F",F7:F17,"oui")</f>
        <v>0</v>
      </c>
      <c r="K10" s="65"/>
      <c r="L10" s="237"/>
      <c r="M10" s="400"/>
      <c r="N10" s="400"/>
      <c r="O10" s="400"/>
      <c r="P10" s="400"/>
      <c r="Q10" s="400"/>
      <c r="R10" s="400"/>
      <c r="S10" s="400"/>
    </row>
    <row r="11" spans="1:24" ht="15" thickBot="1" x14ac:dyDescent="0.35">
      <c r="A11" s="8" t="s">
        <v>200</v>
      </c>
      <c r="B11" s="19" t="s">
        <v>714</v>
      </c>
      <c r="C11" s="87">
        <v>0.33</v>
      </c>
      <c r="D11" s="23"/>
      <c r="E11" s="11" t="s">
        <v>197</v>
      </c>
      <c r="F11" s="11"/>
      <c r="G11" s="234" t="s">
        <v>225</v>
      </c>
      <c r="H11" s="235" t="s">
        <v>247</v>
      </c>
      <c r="I11" s="44" t="s">
        <v>239</v>
      </c>
      <c r="J11" s="45">
        <f>SUMIFS(C7:C17,D7:D17,"CT",E7:E17,"F")/J7</f>
        <v>1</v>
      </c>
      <c r="K11" s="47"/>
      <c r="L11" s="238"/>
      <c r="M11" s="400"/>
      <c r="N11" s="400"/>
      <c r="O11" s="400"/>
      <c r="P11" s="400"/>
      <c r="Q11" s="400"/>
      <c r="R11" s="400"/>
      <c r="S11" s="400"/>
    </row>
    <row r="12" spans="1:24" ht="15" thickBot="1" x14ac:dyDescent="0.35">
      <c r="A12" s="8" t="s">
        <v>202</v>
      </c>
      <c r="B12" s="19"/>
      <c r="C12" s="88"/>
      <c r="D12" s="23"/>
      <c r="E12" s="19"/>
      <c r="F12" s="19"/>
      <c r="G12" s="236"/>
      <c r="H12" s="236"/>
      <c r="I12" s="44" t="s">
        <v>237</v>
      </c>
      <c r="J12" s="45">
        <f>1-J11</f>
        <v>0</v>
      </c>
      <c r="K12" s="46"/>
      <c r="L12" s="239"/>
      <c r="M12" s="400"/>
      <c r="N12" s="400"/>
      <c r="O12" s="400"/>
      <c r="P12" s="400"/>
      <c r="Q12" s="400"/>
      <c r="R12" s="400"/>
      <c r="S12" s="400"/>
    </row>
    <row r="13" spans="1:24" ht="15" thickBot="1" x14ac:dyDescent="0.35">
      <c r="A13" s="8" t="s">
        <v>203</v>
      </c>
      <c r="C13" s="88"/>
      <c r="D13" s="23"/>
      <c r="E13" s="19"/>
      <c r="F13" s="19"/>
      <c r="G13" s="20"/>
      <c r="H13" s="20"/>
      <c r="I13" s="44" t="s">
        <v>687</v>
      </c>
      <c r="J13" s="45">
        <f>(SUMIFS(C7:C17,E7:E17,"NF",H7:H17,"OUI"))</f>
        <v>0</v>
      </c>
      <c r="K13" s="46"/>
      <c r="L13" s="239"/>
      <c r="M13" s="400"/>
      <c r="N13" s="400"/>
      <c r="O13" s="400"/>
      <c r="P13" s="400"/>
      <c r="Q13" s="400"/>
      <c r="R13" s="400"/>
      <c r="S13" s="400"/>
    </row>
    <row r="14" spans="1:24" x14ac:dyDescent="0.3">
      <c r="A14" s="8" t="s">
        <v>204</v>
      </c>
      <c r="C14" s="88"/>
      <c r="D14" s="19"/>
      <c r="E14" s="11"/>
      <c r="F14" s="19"/>
      <c r="G14" s="20"/>
      <c r="H14" s="20"/>
      <c r="I14" s="46"/>
      <c r="J14" s="46"/>
      <c r="K14" s="46"/>
      <c r="L14" s="46"/>
      <c r="M14" s="64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11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11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5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L26" s="65"/>
      <c r="M26" s="65"/>
      <c r="N26" s="30"/>
      <c r="O26" s="30"/>
      <c r="P26" s="30"/>
      <c r="Q26" s="30"/>
    </row>
    <row r="27" spans="1:17" ht="15" thickBot="1" x14ac:dyDescent="0.35"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408</v>
      </c>
      <c r="C29" s="78">
        <v>0.4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SUMIF(E29:E33,"F",C29:C33)</f>
        <v>0.8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581</v>
      </c>
      <c r="C30" s="78">
        <v>0.4</v>
      </c>
      <c r="D30" s="33" t="s">
        <v>237</v>
      </c>
      <c r="E30" s="33" t="s">
        <v>103</v>
      </c>
      <c r="F30" s="33"/>
      <c r="G30" s="35"/>
      <c r="H30" s="8"/>
      <c r="I30" s="44" t="s">
        <v>212</v>
      </c>
      <c r="J30" s="45">
        <f>SUMIF(E29:E33,"NF",C29:C33)</f>
        <v>0.2</v>
      </c>
      <c r="L30" s="65"/>
      <c r="M30" s="65"/>
    </row>
    <row r="31" spans="1:17" ht="15" thickBot="1" x14ac:dyDescent="0.35">
      <c r="A31" s="8" t="s">
        <v>194</v>
      </c>
      <c r="B31" s="17" t="s">
        <v>582</v>
      </c>
      <c r="C31" s="78">
        <v>0.1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SUMIFS(C29:C33,E29:E33,"NF",G29:G33,"OUI")</f>
        <v>0.2</v>
      </c>
      <c r="L31" s="65"/>
      <c r="M31" s="65"/>
    </row>
    <row r="32" spans="1:17" ht="15" thickBot="1" x14ac:dyDescent="0.35">
      <c r="A32" s="25" t="s">
        <v>198</v>
      </c>
      <c r="B32" s="17" t="s">
        <v>715</v>
      </c>
      <c r="C32" s="78">
        <v>0.1</v>
      </c>
      <c r="D32" s="33"/>
      <c r="E32" s="33" t="s">
        <v>197</v>
      </c>
      <c r="F32" s="33"/>
      <c r="G32" s="35" t="s">
        <v>225</v>
      </c>
      <c r="H32" s="8" t="s">
        <v>225</v>
      </c>
      <c r="I32" s="44" t="s">
        <v>214</v>
      </c>
      <c r="J32" s="45">
        <f>SUMIFS(C29:C33,E29:E33,"F",F29:F33,"oui")</f>
        <v>0.4</v>
      </c>
      <c r="L32" s="65"/>
      <c r="M32" s="65"/>
    </row>
    <row r="33" spans="1:13" ht="15" thickBot="1" x14ac:dyDescent="0.35">
      <c r="A33" s="25" t="s">
        <v>200</v>
      </c>
      <c r="B33" s="26"/>
      <c r="C33" s="91"/>
      <c r="D33" s="38"/>
      <c r="E33" s="38"/>
      <c r="F33" s="38"/>
      <c r="G33" s="39"/>
      <c r="H33" s="39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0.2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mergeCells count="1">
    <mergeCell ref="M7:S1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9" workbookViewId="0">
      <selection activeCell="S2" sqref="S2"/>
    </sheetView>
  </sheetViews>
  <sheetFormatPr baseColWidth="10" defaultRowHeight="14.4" x14ac:dyDescent="0.3"/>
  <cols>
    <col min="4" max="4" width="17" customWidth="1"/>
    <col min="5" max="6" width="15.21875" bestFit="1" customWidth="1"/>
    <col min="7" max="7" width="13.77734375" bestFit="1" customWidth="1"/>
    <col min="8" max="8" width="19" bestFit="1" customWidth="1"/>
    <col min="9" max="9" width="11.6640625" bestFit="1" customWidth="1"/>
    <col min="10" max="10" width="13.6640625" bestFit="1" customWidth="1"/>
    <col min="12" max="12" width="14" customWidth="1"/>
    <col min="13" max="13" width="17.5546875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50" t="s">
        <v>172</v>
      </c>
      <c r="F1" s="50" t="s">
        <v>173</v>
      </c>
      <c r="G1" s="50" t="s">
        <v>174</v>
      </c>
      <c r="H1" s="50" t="s">
        <v>175</v>
      </c>
      <c r="I1" s="50" t="s">
        <v>176</v>
      </c>
      <c r="J1" s="50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412</v>
      </c>
      <c r="B2" s="52" t="s">
        <v>29</v>
      </c>
      <c r="C2" s="53" t="s">
        <v>220</v>
      </c>
      <c r="D2" s="54">
        <f>SUM(Table_354567810111415161718192021222315[[#This Row],[Fixe]:[Retraite ]])</f>
        <v>5721834</v>
      </c>
      <c r="E2" s="256">
        <v>1250000</v>
      </c>
      <c r="F2" s="256">
        <v>1890625</v>
      </c>
      <c r="G2" s="256"/>
      <c r="H2" s="256">
        <v>1874741</v>
      </c>
      <c r="I2" s="256">
        <v>6552</v>
      </c>
      <c r="J2" s="256">
        <f>349916+350000</f>
        <v>699916</v>
      </c>
      <c r="K2" s="58">
        <f>((J11*J7)*F2+(J24*J20)*G2+(J33*J29)*H2)/((J7*F2)+(J20*G2)+(J29*H2))</f>
        <v>0.52123148102954431</v>
      </c>
      <c r="L2" s="59">
        <f>1-K2</f>
        <v>0.47876851897045569</v>
      </c>
      <c r="M2" s="59">
        <f>(J7*F2+J20*G2+J29*H2)
/(F2+G2+H2)</f>
        <v>0.83195240515795799</v>
      </c>
      <c r="N2" s="60">
        <f>(J7*F2+J20*G2+J29*H2)/D2</f>
        <v>0.54748273018755866</v>
      </c>
      <c r="O2" s="61">
        <f>(F2*J10+G2*J23+H2*J32)/D2</f>
        <v>0.15837095239043983</v>
      </c>
      <c r="P2" s="62">
        <f>(J8*F2+J21*G2+J30*H2)/D2</f>
        <v>0.11058704254614868</v>
      </c>
      <c r="Q2" s="62">
        <f>(J9*F2+J22*G2+J31*H2)/D2</f>
        <v>8.2050519116772705E-2</v>
      </c>
      <c r="R2" s="62">
        <f>(J13*F2+J26*G2+J35*H2)/(F2+G2+H2)</f>
        <v>2.4894538804461505E-2</v>
      </c>
      <c r="S2" s="62">
        <f>(J13*F2+J26*G2+J35*H2)/D2</f>
        <v>1.6382343493362442E-2</v>
      </c>
    </row>
    <row r="3" spans="1:24" s="245" customFormat="1" x14ac:dyDescent="0.3">
      <c r="A3" s="243"/>
      <c r="B3" s="243"/>
      <c r="C3" s="243"/>
      <c r="D3" s="243"/>
      <c r="E3" s="243"/>
      <c r="F3" s="243"/>
      <c r="G3" s="243"/>
      <c r="H3" s="243"/>
      <c r="I3" s="244"/>
      <c r="J3" s="244"/>
      <c r="K3" s="401"/>
      <c r="L3" s="401"/>
      <c r="M3" s="244"/>
      <c r="N3" s="244"/>
      <c r="O3" s="244"/>
      <c r="P3" s="244"/>
      <c r="Q3" s="244"/>
      <c r="R3" s="244"/>
      <c r="S3" s="244"/>
      <c r="T3" s="243"/>
      <c r="U3" s="243"/>
      <c r="V3" s="243"/>
      <c r="W3" s="243"/>
      <c r="X3" s="24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58.2" thickBot="1" x14ac:dyDescent="0.35">
      <c r="A6" s="3" t="s">
        <v>724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29.4" thickBot="1" x14ac:dyDescent="0.35">
      <c r="A7" s="8" t="s">
        <v>189</v>
      </c>
      <c r="B7" s="19" t="s">
        <v>413</v>
      </c>
      <c r="C7" s="87">
        <v>0.2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SUMIF(E7:E17,"F",C7:C17)/110%</f>
        <v>0.86363636363636365</v>
      </c>
      <c r="M7" s="252" t="s">
        <v>716</v>
      </c>
      <c r="N7" s="254" t="s">
        <v>718</v>
      </c>
      <c r="O7" s="250"/>
      <c r="P7" s="30"/>
      <c r="Q7" s="30"/>
    </row>
    <row r="8" spans="1:24" ht="15" thickBot="1" x14ac:dyDescent="0.35">
      <c r="A8" s="8" t="s">
        <v>192</v>
      </c>
      <c r="B8" s="19" t="s">
        <v>414</v>
      </c>
      <c r="C8" s="87">
        <v>0.2</v>
      </c>
      <c r="D8" s="23" t="s">
        <v>191</v>
      </c>
      <c r="E8" s="11" t="s">
        <v>103</v>
      </c>
      <c r="F8" s="14" t="s">
        <v>225</v>
      </c>
      <c r="G8" s="13"/>
      <c r="H8" s="8"/>
      <c r="I8" s="44" t="s">
        <v>212</v>
      </c>
      <c r="J8" s="45">
        <f>SUMIF(E7:E17,"NF",C7:C17)/110%</f>
        <v>0.13636363636363638</v>
      </c>
      <c r="M8" s="100"/>
      <c r="N8" s="253" t="s">
        <v>723</v>
      </c>
      <c r="O8" s="250"/>
      <c r="P8" s="30"/>
      <c r="Q8" s="30"/>
    </row>
    <row r="9" spans="1:24" ht="15" thickBot="1" x14ac:dyDescent="0.35">
      <c r="A9" s="8" t="s">
        <v>194</v>
      </c>
      <c r="B9" s="19" t="s">
        <v>719</v>
      </c>
      <c r="C9" s="87">
        <v>0.2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0.05</v>
      </c>
      <c r="M9" s="65"/>
      <c r="N9" s="250"/>
      <c r="O9" s="250"/>
      <c r="P9" s="30"/>
      <c r="Q9" s="30"/>
    </row>
    <row r="10" spans="1:24" ht="15" thickBot="1" x14ac:dyDescent="0.35">
      <c r="A10" s="8" t="s">
        <v>198</v>
      </c>
      <c r="B10" s="19" t="s">
        <v>415</v>
      </c>
      <c r="C10" s="87">
        <v>0.2</v>
      </c>
      <c r="D10" s="23" t="s">
        <v>191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SUMIFS(C7:C17,E7:E17,"F",F7:F17,"oui")/110%</f>
        <v>0.18181818181818182</v>
      </c>
      <c r="M10" s="65"/>
      <c r="N10" s="250"/>
      <c r="O10" s="250"/>
      <c r="P10" s="30"/>
      <c r="Q10" s="30"/>
    </row>
    <row r="11" spans="1:24" ht="15" thickBot="1" x14ac:dyDescent="0.35">
      <c r="A11" s="8" t="s">
        <v>200</v>
      </c>
      <c r="B11" s="19" t="s">
        <v>720</v>
      </c>
      <c r="C11" s="87">
        <v>0.15</v>
      </c>
      <c r="D11" s="23" t="s">
        <v>191</v>
      </c>
      <c r="E11" s="11" t="s">
        <v>103</v>
      </c>
      <c r="F11" s="11"/>
      <c r="G11" s="16"/>
      <c r="H11" s="20"/>
      <c r="I11" s="44" t="s">
        <v>239</v>
      </c>
      <c r="J11" s="45">
        <f>SUMIFS(C7:C17,D7:D17,"CT",E7:E17,"F")/J7/110%</f>
        <v>1</v>
      </c>
      <c r="M11" s="251"/>
      <c r="N11" s="250"/>
      <c r="O11" s="250"/>
      <c r="P11" s="30"/>
      <c r="Q11" s="30"/>
    </row>
    <row r="12" spans="1:24" ht="15" thickBot="1" x14ac:dyDescent="0.35">
      <c r="A12" s="8" t="s">
        <v>202</v>
      </c>
      <c r="B12" s="19" t="s">
        <v>721</v>
      </c>
      <c r="C12" s="88">
        <v>0.05</v>
      </c>
      <c r="D12" s="23"/>
      <c r="E12" s="19" t="s">
        <v>197</v>
      </c>
      <c r="F12" s="19"/>
      <c r="G12" s="20"/>
      <c r="H12" s="20"/>
      <c r="I12" s="44" t="s">
        <v>237</v>
      </c>
      <c r="J12" s="45">
        <f>1-J11</f>
        <v>0</v>
      </c>
      <c r="M12" s="66"/>
      <c r="N12" s="250"/>
      <c r="O12" s="250"/>
      <c r="P12" s="30"/>
      <c r="Q12" s="30"/>
    </row>
    <row r="13" spans="1:24" ht="15" thickBot="1" x14ac:dyDescent="0.35">
      <c r="A13" s="8" t="s">
        <v>203</v>
      </c>
      <c r="B13" s="19" t="s">
        <v>722</v>
      </c>
      <c r="C13" s="87">
        <v>0.05</v>
      </c>
      <c r="D13" s="23"/>
      <c r="E13" s="19" t="s">
        <v>197</v>
      </c>
      <c r="F13" s="19"/>
      <c r="G13" s="20"/>
      <c r="H13" s="20"/>
      <c r="I13" s="44" t="s">
        <v>687</v>
      </c>
      <c r="J13" s="45">
        <f>(SUMIFS(C7:C17,E7:E17,"NF",H7:H17,"OUI"))/110%</f>
        <v>0</v>
      </c>
      <c r="M13" s="66"/>
      <c r="N13" s="250"/>
      <c r="O13" s="250"/>
      <c r="P13" s="30"/>
      <c r="Q13" s="30"/>
    </row>
    <row r="14" spans="1:24" x14ac:dyDescent="0.3">
      <c r="A14" s="8" t="s">
        <v>204</v>
      </c>
      <c r="B14" s="19" t="s">
        <v>416</v>
      </c>
      <c r="C14" s="88">
        <v>0.05</v>
      </c>
      <c r="D14" s="19"/>
      <c r="E14" s="19" t="s">
        <v>197</v>
      </c>
      <c r="F14" s="19"/>
      <c r="G14" s="20" t="s">
        <v>225</v>
      </c>
      <c r="H14" s="20"/>
      <c r="I14" s="46"/>
      <c r="J14" s="46"/>
      <c r="K14" s="46"/>
      <c r="L14" s="46"/>
      <c r="M14" s="46"/>
      <c r="N14" s="246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58.2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L27" s="65"/>
      <c r="M27" s="65"/>
      <c r="N27" s="30"/>
      <c r="O27" s="30"/>
      <c r="P27" s="30"/>
      <c r="Q27" s="30"/>
    </row>
    <row r="28" spans="1:17" ht="58.2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417</v>
      </c>
      <c r="C29" s="78">
        <v>0.5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0.8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408</v>
      </c>
      <c r="C30" s="78">
        <v>0.3</v>
      </c>
      <c r="D30" s="33" t="s">
        <v>237</v>
      </c>
      <c r="E30" s="33" t="s">
        <v>103</v>
      </c>
      <c r="F30" s="33" t="s">
        <v>225</v>
      </c>
      <c r="G30" s="16"/>
      <c r="H30" s="8"/>
      <c r="I30" s="44" t="s">
        <v>212</v>
      </c>
      <c r="J30" s="45">
        <f>SUMIF(E29:E32,"NF",C29:C32)</f>
        <v>0.2</v>
      </c>
      <c r="L30" s="65"/>
      <c r="M30" s="65"/>
    </row>
    <row r="31" spans="1:17" ht="15" thickBot="1" x14ac:dyDescent="0.35">
      <c r="A31" s="8" t="s">
        <v>194</v>
      </c>
      <c r="B31" s="86" t="s">
        <v>284</v>
      </c>
      <c r="C31" s="78">
        <v>0.2</v>
      </c>
      <c r="D31" s="247" t="s">
        <v>237</v>
      </c>
      <c r="E31" s="33" t="s">
        <v>197</v>
      </c>
      <c r="F31" s="33"/>
      <c r="G31" s="248" t="s">
        <v>225</v>
      </c>
      <c r="H31" s="249" t="s">
        <v>225</v>
      </c>
      <c r="I31" s="44" t="s">
        <v>213</v>
      </c>
      <c r="J31" s="45">
        <f>SUMIFS(C29:C32,E29:E32,"NF",G29:G32,"OUI")</f>
        <v>0.2</v>
      </c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0.3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255">
        <f>SUMIFS(C29:C37,E29:E37,"NF",H29:H37,"OUI")/4</f>
        <v>0.05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mergeCells count="1">
    <mergeCell ref="K3:L3"/>
  </mergeCells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1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6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418</v>
      </c>
      <c r="B2" s="52" t="s">
        <v>52</v>
      </c>
      <c r="C2" s="53" t="s">
        <v>220</v>
      </c>
      <c r="D2" s="54">
        <f>SUM(Table_35456781011141516171819202122232416[[#This Row],[Fixe]:[Retraite ]])</f>
        <v>6666587</v>
      </c>
      <c r="E2" s="55">
        <v>1170000</v>
      </c>
      <c r="F2" s="55">
        <v>2503800</v>
      </c>
      <c r="G2" s="56"/>
      <c r="H2" s="56">
        <v>2988082</v>
      </c>
      <c r="I2" s="55">
        <v>4705</v>
      </c>
      <c r="J2" s="55"/>
      <c r="K2" s="58">
        <f>((J11*J7)*F2+(J24*J20)*G2+(J33*J29)*H2)/((J7*F2)+(J20*G2)+(J29*H2))</f>
        <v>0.45590928574211909</v>
      </c>
      <c r="L2" s="59">
        <f>1-K2</f>
        <v>0.54409071425788091</v>
      </c>
      <c r="M2" s="59">
        <f>(J7*F2+J20*G2+J29*H2)
/(F2+G2+H2)</f>
        <v>0.84999999999999987</v>
      </c>
      <c r="N2" s="60">
        <f>(J7*F2+J20*G2+J29*H2)/D2</f>
        <v>0.70022332266870579</v>
      </c>
      <c r="O2" s="61">
        <f>(F2*J10+G2*J23+H2*J32)/D2</f>
        <v>6.7232648430148742E-2</v>
      </c>
      <c r="P2" s="62">
        <f>(J8*F2+J21*G2+J30*H2)/D2</f>
        <v>0.1235688216474187</v>
      </c>
      <c r="Q2" s="62">
        <f>(J9*F2+J22*G2+J31*H2)/D2</f>
        <v>0.1235688216474187</v>
      </c>
      <c r="R2" s="62">
        <f>(J13*F2+J26*G2+J35*H2)/(F2+G2+H2)</f>
        <v>6.1397732143552972E-2</v>
      </c>
      <c r="S2" s="62">
        <f>(J13*F2+J26*G2+J35*H2)/D2</f>
        <v>5.0578969418684547E-2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447</v>
      </c>
      <c r="C7" s="87">
        <v>0.17499999999999999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0.85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448</v>
      </c>
      <c r="C8" s="87">
        <v>0.17499999999999999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0.15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449</v>
      </c>
      <c r="C9" s="87">
        <v>0.17499999999999999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0.15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450</v>
      </c>
      <c r="C10" s="87">
        <v>0.17499999999999999</v>
      </c>
      <c r="D10" s="23" t="s">
        <v>191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354</v>
      </c>
      <c r="C11" s="87">
        <v>0.15</v>
      </c>
      <c r="D11" s="23" t="s">
        <v>191</v>
      </c>
      <c r="E11" s="11" t="s">
        <v>103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451</v>
      </c>
      <c r="C12" s="88">
        <v>7.4999999999999997E-2</v>
      </c>
      <c r="D12" s="23"/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452</v>
      </c>
      <c r="C13" s="87">
        <v>7.4999999999999997E-2</v>
      </c>
      <c r="D13" s="23"/>
      <c r="E13" s="19" t="s">
        <v>197</v>
      </c>
      <c r="F13" s="19"/>
      <c r="G13" s="20" t="s">
        <v>225</v>
      </c>
      <c r="H13" s="20" t="s">
        <v>225</v>
      </c>
      <c r="I13" s="44" t="s">
        <v>687</v>
      </c>
      <c r="J13" s="45">
        <f>(SUMIFS(C7:C17,E7:E17,"NF",H7:H17,"OUI"))</f>
        <v>7.4999999999999997E-2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8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725</v>
      </c>
      <c r="C29" s="78">
        <v>0.35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0.85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352</v>
      </c>
      <c r="C30" s="78">
        <v>0.35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SUMIF(E29:E32,"NF",C29:C32)</f>
        <v>0.15</v>
      </c>
      <c r="L30" s="65"/>
      <c r="M30" s="65"/>
    </row>
    <row r="31" spans="1:17" ht="15" thickBot="1" x14ac:dyDescent="0.35">
      <c r="A31" s="8" t="s">
        <v>194</v>
      </c>
      <c r="B31" s="86" t="s">
        <v>289</v>
      </c>
      <c r="C31" s="78">
        <v>0.15</v>
      </c>
      <c r="D31" s="33" t="s">
        <v>237</v>
      </c>
      <c r="E31" s="33" t="s">
        <v>103</v>
      </c>
      <c r="F31" s="33" t="s">
        <v>225</v>
      </c>
      <c r="G31" s="35"/>
      <c r="H31" s="8"/>
      <c r="I31" s="44" t="s">
        <v>213</v>
      </c>
      <c r="J31" s="45">
        <f>SUMIFS(C29:C32,E29:E32,"NF",G29:G32,"OUI")</f>
        <v>0.15</v>
      </c>
      <c r="L31" s="65"/>
      <c r="M31" s="65"/>
    </row>
    <row r="32" spans="1:17" ht="15" thickBot="1" x14ac:dyDescent="0.35">
      <c r="A32" s="25" t="s">
        <v>198</v>
      </c>
      <c r="B32" s="38" t="s">
        <v>284</v>
      </c>
      <c r="C32" s="67">
        <v>0.15</v>
      </c>
      <c r="D32" s="38" t="s">
        <v>237</v>
      </c>
      <c r="E32" s="38" t="s">
        <v>197</v>
      </c>
      <c r="F32" s="38"/>
      <c r="G32" s="39" t="s">
        <v>225</v>
      </c>
      <c r="H32" s="8" t="s">
        <v>225</v>
      </c>
      <c r="I32" s="44" t="s">
        <v>214</v>
      </c>
      <c r="J32" s="45">
        <f>SUMIFS(C29:C32,E29:E32,"F",F29:F32,"oui")</f>
        <v>0.15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1/3*C32</f>
        <v>4.9999999999999996E-2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67" zoomScaleNormal="55" workbookViewId="0">
      <selection activeCell="S2" sqref="S2"/>
    </sheetView>
  </sheetViews>
  <sheetFormatPr baseColWidth="10" defaultRowHeight="14.4" x14ac:dyDescent="0.3"/>
  <cols>
    <col min="1" max="1" width="14.77734375" customWidth="1"/>
    <col min="2" max="2" width="36.33203125" customWidth="1"/>
    <col min="4" max="4" width="17" customWidth="1"/>
    <col min="7" max="7" width="17.77734375" customWidth="1"/>
    <col min="9" max="9" width="17.77734375" customWidth="1"/>
    <col min="10" max="19" width="13.4414062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407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x14ac:dyDescent="0.3">
      <c r="A2" s="51" t="s">
        <v>395</v>
      </c>
      <c r="B2" s="52" t="s">
        <v>396</v>
      </c>
      <c r="C2" s="53" t="s">
        <v>319</v>
      </c>
      <c r="D2" s="54">
        <f>SUM(Table_3545678101114151617181920212223[[#This Row],[Fixe]:[Retraite ]])</f>
        <v>4516703</v>
      </c>
      <c r="E2" s="55">
        <v>1300000</v>
      </c>
      <c r="F2" s="55">
        <v>1950000</v>
      </c>
      <c r="G2" s="56">
        <v>191854</v>
      </c>
      <c r="H2" s="55">
        <v>1061718</v>
      </c>
      <c r="I2" s="55">
        <v>13131</v>
      </c>
      <c r="J2" s="55"/>
      <c r="K2" s="280">
        <f>((J11*J7)*F2+(J24*J20)*G2+(J33*J29)*H2)/((J7*F2)+(J20*G2)+(J29*H2))</f>
        <v>0.5360412938112582</v>
      </c>
      <c r="L2" s="281">
        <f>1-K2</f>
        <v>0.4639587061887418</v>
      </c>
      <c r="M2" s="281">
        <f>(J7*F2+J20*G2+J29*H2)
/(F2+G2+H2)</f>
        <v>0.61319080701167317</v>
      </c>
      <c r="N2" s="282">
        <f>(J7*F2+J20*G2+J29*H2)/D2</f>
        <v>0.43491920987499066</v>
      </c>
      <c r="O2" s="61">
        <f>(F2*J10+G2*J23+H2*J32)/D2</f>
        <v>0.13404049369639756</v>
      </c>
      <c r="P2" s="62">
        <f>(J8*F2+J21*G2+J30*H2)/D2</f>
        <v>0.17937223235621205</v>
      </c>
      <c r="Q2" s="62">
        <f>(J9*F2+J22*G2+J31*H2)/D2</f>
        <v>0.17087692062108137</v>
      </c>
      <c r="R2" s="62">
        <f>(J13*F2+J26*G2+J35*H2)/(F2+G2+H2)</f>
        <v>9.4831737822655457E-2</v>
      </c>
      <c r="S2" s="62">
        <f>(J13*F2+J26*G2+J35*H2)/D2</f>
        <v>6.7261517970076845E-2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4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397</v>
      </c>
      <c r="C7" s="87">
        <f>3/5*22.5%</f>
        <v>0.13500000000000001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0.54</v>
      </c>
      <c r="K7" s="65"/>
      <c r="L7" s="257"/>
      <c r="M7" s="258"/>
      <c r="N7" s="259"/>
      <c r="O7" s="63"/>
      <c r="P7" s="30"/>
      <c r="Q7" s="30"/>
    </row>
    <row r="8" spans="1:24" ht="15" thickBot="1" x14ac:dyDescent="0.35">
      <c r="A8" s="8" t="s">
        <v>192</v>
      </c>
      <c r="B8" s="19" t="s">
        <v>398</v>
      </c>
      <c r="C8" s="87">
        <f>3/5*22.5%</f>
        <v>0.13500000000000001</v>
      </c>
      <c r="D8" s="23" t="s">
        <v>191</v>
      </c>
      <c r="E8" s="11" t="s">
        <v>103</v>
      </c>
      <c r="F8" s="14"/>
      <c r="G8" s="13"/>
      <c r="H8" s="8"/>
      <c r="I8" s="260" t="s">
        <v>212</v>
      </c>
      <c r="J8" s="261">
        <f>SUMIF(E7:E17,"NF",C7:C17)</f>
        <v>0.24000000000000005</v>
      </c>
      <c r="K8" s="237"/>
      <c r="L8" s="231"/>
      <c r="M8" s="231"/>
      <c r="N8" s="266"/>
      <c r="O8" s="233"/>
      <c r="P8" s="30"/>
      <c r="Q8" s="30"/>
    </row>
    <row r="9" spans="1:24" ht="15" thickBot="1" x14ac:dyDescent="0.35">
      <c r="A9" s="8" t="s">
        <v>194</v>
      </c>
      <c r="B9" s="19" t="s">
        <v>388</v>
      </c>
      <c r="C9" s="87">
        <f>3/5*22.5%</f>
        <v>0.13500000000000001</v>
      </c>
      <c r="D9" s="23" t="s">
        <v>191</v>
      </c>
      <c r="E9" s="11" t="s">
        <v>103</v>
      </c>
      <c r="F9" s="11" t="s">
        <v>225</v>
      </c>
      <c r="G9" s="13"/>
      <c r="H9" s="8"/>
      <c r="I9" s="263" t="s">
        <v>213</v>
      </c>
      <c r="J9" s="264">
        <f>SUMIFS(C7:C17,E7:E17,"NF",G7:G17,"OUI")</f>
        <v>0.24000000000000005</v>
      </c>
      <c r="K9" s="237"/>
      <c r="L9" s="237"/>
      <c r="M9" s="237"/>
      <c r="N9" s="266"/>
      <c r="O9" s="233"/>
      <c r="P9" s="30"/>
      <c r="Q9" s="30"/>
    </row>
    <row r="10" spans="1:24" ht="15" thickBot="1" x14ac:dyDescent="0.35">
      <c r="A10" s="8" t="s">
        <v>198</v>
      </c>
      <c r="B10" s="19" t="s">
        <v>399</v>
      </c>
      <c r="C10" s="87">
        <f>3/5*22.5%</f>
        <v>0.13500000000000001</v>
      </c>
      <c r="D10" s="268" t="s">
        <v>191</v>
      </c>
      <c r="E10" s="11" t="s">
        <v>103</v>
      </c>
      <c r="F10" s="11"/>
      <c r="G10" s="13"/>
      <c r="H10" s="8"/>
      <c r="I10" s="263" t="s">
        <v>214</v>
      </c>
      <c r="J10" s="264">
        <f>SUMIFS(C7:C17,E7:E17,"F",F7:F17,"oui")</f>
        <v>0.13500000000000001</v>
      </c>
      <c r="K10" s="237"/>
      <c r="L10" s="237"/>
      <c r="M10" s="237"/>
      <c r="N10" s="266"/>
      <c r="O10" s="233"/>
      <c r="P10" s="30"/>
      <c r="Q10" s="30"/>
    </row>
    <row r="11" spans="1:24" ht="15" thickBot="1" x14ac:dyDescent="0.35">
      <c r="A11" s="8" t="s">
        <v>200</v>
      </c>
      <c r="B11" s="19" t="s">
        <v>400</v>
      </c>
      <c r="C11" s="87">
        <f>2/5*10%</f>
        <v>4.0000000000000008E-2</v>
      </c>
      <c r="D11" s="268" t="s">
        <v>191</v>
      </c>
      <c r="E11" s="11" t="s">
        <v>197</v>
      </c>
      <c r="F11" s="11"/>
      <c r="G11" s="13" t="s">
        <v>225</v>
      </c>
      <c r="H11" s="20"/>
      <c r="I11" s="263" t="s">
        <v>239</v>
      </c>
      <c r="J11" s="264">
        <f>SUMIFS(C7:C17,D7:D17,"CT",E7:E17,"F")/J7</f>
        <v>1</v>
      </c>
      <c r="K11" s="238"/>
      <c r="L11" s="238"/>
      <c r="M11" s="238"/>
      <c r="N11" s="266"/>
      <c r="O11" s="233"/>
      <c r="P11" s="30"/>
      <c r="Q11" s="30"/>
    </row>
    <row r="12" spans="1:24" ht="15" thickBot="1" x14ac:dyDescent="0.35">
      <c r="A12" s="8" t="s">
        <v>202</v>
      </c>
      <c r="B12" s="262" t="s">
        <v>401</v>
      </c>
      <c r="C12" s="88">
        <f>2/5*40%</f>
        <v>0.16000000000000003</v>
      </c>
      <c r="D12" s="268" t="s">
        <v>191</v>
      </c>
      <c r="E12" s="19" t="s">
        <v>197</v>
      </c>
      <c r="F12" s="19"/>
      <c r="G12" s="16" t="s">
        <v>225</v>
      </c>
      <c r="H12" s="20"/>
      <c r="I12" s="263" t="s">
        <v>237</v>
      </c>
      <c r="J12" s="264">
        <f>1-J11</f>
        <v>0</v>
      </c>
      <c r="K12" s="239"/>
      <c r="L12" s="265"/>
      <c r="M12" s="239"/>
      <c r="N12" s="266"/>
      <c r="O12" s="233"/>
      <c r="P12" s="266"/>
      <c r="Q12" s="30"/>
    </row>
    <row r="13" spans="1:24" ht="15" thickBot="1" x14ac:dyDescent="0.35">
      <c r="A13" s="8" t="s">
        <v>203</v>
      </c>
      <c r="B13" s="19" t="s">
        <v>402</v>
      </c>
      <c r="C13" s="87">
        <f>2/5*10%</f>
        <v>4.0000000000000008E-2</v>
      </c>
      <c r="D13" s="268" t="s">
        <v>191</v>
      </c>
      <c r="E13" s="19" t="s">
        <v>197</v>
      </c>
      <c r="F13" s="19"/>
      <c r="G13" s="16" t="s">
        <v>225</v>
      </c>
      <c r="H13" s="20"/>
      <c r="I13" s="263" t="s">
        <v>687</v>
      </c>
      <c r="J13" s="264">
        <f>(SUMIFS(C7:C17,E7:E17,"NF",H7:H17,"OUI"))</f>
        <v>0</v>
      </c>
      <c r="K13" s="239"/>
      <c r="L13" s="267"/>
      <c r="M13" s="239"/>
      <c r="N13" s="266"/>
      <c r="O13" s="233"/>
      <c r="P13" s="266"/>
      <c r="Q13" s="30"/>
    </row>
    <row r="14" spans="1:24" x14ac:dyDescent="0.3">
      <c r="A14" s="8" t="s">
        <v>204</v>
      </c>
      <c r="B14" s="19"/>
      <c r="C14" s="19"/>
      <c r="D14" s="262"/>
      <c r="E14" s="19"/>
      <c r="F14" s="19"/>
      <c r="G14" s="20"/>
      <c r="H14" s="20"/>
      <c r="I14" s="239"/>
      <c r="J14" s="239"/>
      <c r="K14" s="239"/>
      <c r="L14" s="239"/>
      <c r="M14" s="239"/>
      <c r="N14" s="266"/>
      <c r="O14" s="23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239"/>
      <c r="J15" s="239"/>
      <c r="K15" s="239"/>
      <c r="L15" s="239"/>
      <c r="M15" s="239"/>
      <c r="N15" s="266"/>
      <c r="O15" s="23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239"/>
      <c r="J16" s="239"/>
      <c r="K16" s="239"/>
      <c r="L16" s="239"/>
      <c r="M16" s="239"/>
      <c r="N16" s="266"/>
      <c r="O16" s="23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239"/>
      <c r="J17" s="239"/>
      <c r="K17" s="239"/>
      <c r="L17" s="239"/>
      <c r="M17" s="239"/>
      <c r="N17" s="266"/>
      <c r="O17" s="266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239"/>
      <c r="J18" s="239"/>
      <c r="K18" s="239"/>
      <c r="L18" s="239"/>
      <c r="M18" s="239"/>
      <c r="N18" s="266"/>
      <c r="O18" s="266"/>
      <c r="P18" s="30"/>
      <c r="Q18" s="30"/>
    </row>
    <row r="19" spans="1:17" ht="72.599999999999994" thickBot="1" x14ac:dyDescent="0.35">
      <c r="A19" s="269" t="s">
        <v>407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263"/>
      <c r="J19" s="263"/>
      <c r="K19" s="276"/>
      <c r="L19" s="402"/>
      <c r="M19" s="402"/>
      <c r="N19" s="402"/>
      <c r="O19" s="232"/>
      <c r="P19" s="64"/>
      <c r="Q19" s="64"/>
    </row>
    <row r="20" spans="1:17" ht="15" thickBot="1" x14ac:dyDescent="0.35">
      <c r="A20" s="8" t="s">
        <v>189</v>
      </c>
      <c r="B20" s="43" t="s">
        <v>408</v>
      </c>
      <c r="C20" s="78">
        <v>0.2</v>
      </c>
      <c r="D20" s="270" t="s">
        <v>237</v>
      </c>
      <c r="E20" s="33" t="s">
        <v>103</v>
      </c>
      <c r="F20" s="34" t="s">
        <v>225</v>
      </c>
      <c r="G20" s="35"/>
      <c r="H20" s="8"/>
      <c r="I20" s="263" t="s">
        <v>211</v>
      </c>
      <c r="J20" s="264">
        <f>SUMIF(E20:E23,"F",C20:C23)</f>
        <v>0.60000000000000009</v>
      </c>
      <c r="K20" s="237"/>
      <c r="L20" s="237"/>
      <c r="M20" s="237"/>
      <c r="N20" s="266"/>
      <c r="O20" s="266"/>
      <c r="P20" s="30"/>
      <c r="Q20" s="30"/>
    </row>
    <row r="21" spans="1:17" ht="15" thickBot="1" x14ac:dyDescent="0.35">
      <c r="A21" s="8" t="s">
        <v>192</v>
      </c>
      <c r="B21" s="17" t="s">
        <v>409</v>
      </c>
      <c r="C21" s="78">
        <v>0.2</v>
      </c>
      <c r="D21" s="270" t="s">
        <v>237</v>
      </c>
      <c r="E21" s="33" t="s">
        <v>103</v>
      </c>
      <c r="F21" s="33"/>
      <c r="G21" s="35"/>
      <c r="H21" s="8"/>
      <c r="I21" s="263" t="s">
        <v>212</v>
      </c>
      <c r="J21" s="264">
        <f>SUMIF(E20:E24,"NF",C20:C24)</f>
        <v>0.4</v>
      </c>
      <c r="K21" s="237"/>
      <c r="L21" s="237"/>
      <c r="M21" s="237"/>
      <c r="N21" s="266"/>
      <c r="O21" s="266"/>
      <c r="P21" s="30"/>
      <c r="Q21" s="30"/>
    </row>
    <row r="22" spans="1:17" ht="15" thickBot="1" x14ac:dyDescent="0.35">
      <c r="A22" s="8" t="s">
        <v>194</v>
      </c>
      <c r="B22" s="19" t="s">
        <v>388</v>
      </c>
      <c r="C22" s="78">
        <v>0.2</v>
      </c>
      <c r="D22" s="262" t="s">
        <v>237</v>
      </c>
      <c r="E22" s="19" t="s">
        <v>103</v>
      </c>
      <c r="F22" s="19" t="s">
        <v>225</v>
      </c>
      <c r="G22" s="20"/>
      <c r="H22" s="20"/>
      <c r="I22" s="263" t="s">
        <v>213</v>
      </c>
      <c r="J22" s="264">
        <f>SUMIFS(C20:C23,E20:E23,"NF",G20:G23,"OUI")</f>
        <v>0.2</v>
      </c>
      <c r="K22" s="237"/>
      <c r="L22" s="237"/>
      <c r="M22" s="237"/>
      <c r="N22" s="266"/>
      <c r="O22" s="266"/>
      <c r="P22" s="30"/>
      <c r="Q22" s="30"/>
    </row>
    <row r="23" spans="1:17" ht="15" thickBot="1" x14ac:dyDescent="0.35">
      <c r="A23" s="8" t="s">
        <v>198</v>
      </c>
      <c r="B23" s="19" t="s">
        <v>410</v>
      </c>
      <c r="C23" s="78">
        <v>0.2</v>
      </c>
      <c r="D23" s="23" t="s">
        <v>237</v>
      </c>
      <c r="E23" s="23" t="s">
        <v>197</v>
      </c>
      <c r="F23" s="23"/>
      <c r="G23" s="24" t="s">
        <v>225</v>
      </c>
      <c r="H23" s="24"/>
      <c r="I23" s="263" t="s">
        <v>214</v>
      </c>
      <c r="J23" s="264">
        <f>SUMIFS(C20:C23,E20:E23,"F",F20:F23,"oui")</f>
        <v>0.4</v>
      </c>
      <c r="K23" s="237"/>
      <c r="L23" s="239"/>
      <c r="M23" s="239"/>
      <c r="N23" s="266"/>
      <c r="O23" s="266"/>
      <c r="P23" s="30"/>
      <c r="Q23" s="30"/>
    </row>
    <row r="24" spans="1:17" ht="15" thickBot="1" x14ac:dyDescent="0.35">
      <c r="A24" s="25" t="s">
        <v>200</v>
      </c>
      <c r="B24" s="26" t="s">
        <v>411</v>
      </c>
      <c r="C24" s="78">
        <v>0.2</v>
      </c>
      <c r="D24" s="28" t="s">
        <v>237</v>
      </c>
      <c r="E24" s="28" t="s">
        <v>197</v>
      </c>
      <c r="F24" s="28"/>
      <c r="G24" s="29" t="s">
        <v>225</v>
      </c>
      <c r="H24" s="29" t="s">
        <v>225</v>
      </c>
      <c r="I24" s="263" t="s">
        <v>239</v>
      </c>
      <c r="J24" s="278">
        <f>SUMIFS(C20:C24,D20:D24,"CT",E20:E24,"F")/J20</f>
        <v>0</v>
      </c>
      <c r="K24" s="237"/>
      <c r="L24" s="239"/>
      <c r="M24" s="239"/>
      <c r="N24" s="266"/>
      <c r="O24" s="266"/>
      <c r="P24" s="30"/>
      <c r="Q24" s="30"/>
    </row>
    <row r="25" spans="1:17" ht="15" thickBot="1" x14ac:dyDescent="0.35">
      <c r="I25" s="263" t="s">
        <v>237</v>
      </c>
      <c r="J25" s="264">
        <f>1-J24</f>
        <v>1</v>
      </c>
      <c r="K25" s="237"/>
      <c r="L25" s="276"/>
      <c r="M25" s="276"/>
      <c r="N25" s="232"/>
      <c r="O25" s="232"/>
      <c r="P25" s="64"/>
      <c r="Q25" s="64"/>
    </row>
    <row r="26" spans="1:17" ht="15" thickBot="1" x14ac:dyDescent="0.35">
      <c r="I26" s="263" t="s">
        <v>224</v>
      </c>
      <c r="J26" s="264">
        <f>SUMIFS(C20:C26,E20:E26,"NF",H20:H26,"OUI")</f>
        <v>0.2</v>
      </c>
      <c r="K26" s="237"/>
      <c r="L26" s="237"/>
      <c r="M26" s="237"/>
      <c r="N26" s="266"/>
      <c r="O26" s="266"/>
      <c r="P26" s="30"/>
      <c r="Q26" s="30"/>
    </row>
    <row r="27" spans="1:17" ht="15" thickBot="1" x14ac:dyDescent="0.35">
      <c r="I27" s="231"/>
      <c r="J27" s="231"/>
      <c r="K27" s="237"/>
      <c r="L27" s="237"/>
      <c r="M27" s="237"/>
      <c r="N27" s="266"/>
      <c r="O27" s="266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263"/>
      <c r="J28" s="263"/>
      <c r="K28" s="237"/>
      <c r="L28" s="403"/>
      <c r="M28" s="403"/>
      <c r="N28" s="403"/>
      <c r="O28" s="266"/>
      <c r="P28" s="30"/>
      <c r="Q28" s="30"/>
    </row>
    <row r="29" spans="1:17" ht="15" thickBot="1" x14ac:dyDescent="0.35">
      <c r="A29" s="8" t="s">
        <v>189</v>
      </c>
      <c r="B29" s="17" t="s">
        <v>403</v>
      </c>
      <c r="C29" s="78">
        <v>0.25</v>
      </c>
      <c r="D29" s="33" t="s">
        <v>431</v>
      </c>
      <c r="E29" s="33" t="s">
        <v>103</v>
      </c>
      <c r="F29" s="34" t="s">
        <v>225</v>
      </c>
      <c r="G29" s="35"/>
      <c r="H29" s="8"/>
      <c r="I29" s="263" t="s">
        <v>211</v>
      </c>
      <c r="J29" s="264">
        <f>SUMIF(E29:E32,"F",C29:C32)</f>
        <v>0.75</v>
      </c>
      <c r="K29" s="237"/>
      <c r="L29" s="237"/>
      <c r="M29" s="237"/>
      <c r="N29" s="266"/>
      <c r="O29" s="266"/>
      <c r="P29" s="30"/>
      <c r="Q29" s="30"/>
    </row>
    <row r="30" spans="1:17" ht="15" thickBot="1" x14ac:dyDescent="0.35">
      <c r="A30" s="8" t="s">
        <v>192</v>
      </c>
      <c r="B30" s="17" t="s">
        <v>404</v>
      </c>
      <c r="C30" s="78">
        <v>0.25</v>
      </c>
      <c r="D30" s="33" t="s">
        <v>431</v>
      </c>
      <c r="E30" s="33" t="s">
        <v>103</v>
      </c>
      <c r="F30" s="33"/>
      <c r="G30" s="16"/>
      <c r="H30" s="8"/>
      <c r="I30" s="263" t="s">
        <v>212</v>
      </c>
      <c r="J30" s="264">
        <f>SUMIF(E29:E32,"NF",C29:C32)</f>
        <v>0.25</v>
      </c>
      <c r="K30" s="231"/>
      <c r="L30" s="237"/>
      <c r="M30" s="237"/>
      <c r="N30" s="231"/>
      <c r="O30" s="231"/>
    </row>
    <row r="31" spans="1:17" ht="15" thickBot="1" x14ac:dyDescent="0.35">
      <c r="A31" s="8" t="s">
        <v>194</v>
      </c>
      <c r="B31" s="86" t="s">
        <v>405</v>
      </c>
      <c r="C31" s="272">
        <v>0.25</v>
      </c>
      <c r="D31" s="273" t="s">
        <v>431</v>
      </c>
      <c r="E31" s="33" t="s">
        <v>103</v>
      </c>
      <c r="F31" s="33"/>
      <c r="G31" s="35"/>
      <c r="H31" s="8"/>
      <c r="I31" s="263" t="s">
        <v>213</v>
      </c>
      <c r="J31" s="264">
        <f>SUMIFS(C29:C32,E29:E32,"NF",G29:G32,"OUI")</f>
        <v>0.25</v>
      </c>
      <c r="K31" s="231"/>
      <c r="L31" s="237"/>
      <c r="M31" s="237"/>
      <c r="N31" s="231"/>
      <c r="O31" s="231"/>
    </row>
    <row r="32" spans="1:17" ht="15" thickBot="1" x14ac:dyDescent="0.35">
      <c r="A32" s="25" t="s">
        <v>198</v>
      </c>
      <c r="B32" s="274" t="s">
        <v>406</v>
      </c>
      <c r="C32" s="275">
        <v>0.25</v>
      </c>
      <c r="D32" s="274" t="s">
        <v>431</v>
      </c>
      <c r="E32" s="38" t="s">
        <v>197</v>
      </c>
      <c r="F32" s="38"/>
      <c r="G32" s="271" t="s">
        <v>225</v>
      </c>
      <c r="H32" s="8" t="s">
        <v>225</v>
      </c>
      <c r="I32" s="263" t="s">
        <v>214</v>
      </c>
      <c r="J32" s="264">
        <f>SUMIFS(C29:C32,E29:E32,"F",F29:F32,"oui")</f>
        <v>0.25</v>
      </c>
      <c r="K32" s="231"/>
      <c r="L32" s="277"/>
      <c r="M32" s="237"/>
      <c r="N32" s="231"/>
      <c r="O32" s="231"/>
    </row>
    <row r="33" spans="1:15" ht="15" thickBot="1" x14ac:dyDescent="0.35">
      <c r="A33" s="65"/>
      <c r="B33" s="65"/>
      <c r="C33" s="65"/>
      <c r="D33" s="65"/>
      <c r="E33" s="65"/>
      <c r="F33" s="65"/>
      <c r="G33" s="65"/>
      <c r="H33" s="39"/>
      <c r="I33" s="263" t="s">
        <v>239</v>
      </c>
      <c r="J33" s="279">
        <f>SUMIFS(C29:C32,D29:D32,"CT",E29:E32,"F")/J29</f>
        <v>0</v>
      </c>
      <c r="K33" s="231"/>
      <c r="L33" s="237"/>
      <c r="M33" s="237"/>
      <c r="N33" s="231"/>
      <c r="O33" s="231"/>
    </row>
    <row r="34" spans="1:15" ht="15" thickBot="1" x14ac:dyDescent="0.35">
      <c r="A34" s="65"/>
      <c r="B34" s="65"/>
      <c r="C34" s="65"/>
      <c r="D34" s="65"/>
      <c r="E34" s="65"/>
      <c r="F34" s="65"/>
      <c r="G34" s="65"/>
      <c r="H34" s="39"/>
      <c r="I34" s="263" t="s">
        <v>240</v>
      </c>
      <c r="J34" s="264">
        <f>1-J33</f>
        <v>1</v>
      </c>
      <c r="K34" s="231"/>
      <c r="L34" s="231"/>
      <c r="M34" s="231"/>
      <c r="N34" s="231"/>
      <c r="O34" s="231"/>
    </row>
    <row r="35" spans="1:15" ht="15" thickBot="1" x14ac:dyDescent="0.35">
      <c r="A35" s="65"/>
      <c r="B35" s="65"/>
      <c r="C35" s="65"/>
      <c r="D35" s="65"/>
      <c r="E35" s="65"/>
      <c r="F35" s="65"/>
      <c r="G35" s="65"/>
      <c r="H35" s="65"/>
      <c r="I35" s="263" t="s">
        <v>224</v>
      </c>
      <c r="J35" s="264">
        <f>SUMIFS(C29:C37,E29:E37,"NF",H29:H37,"OUI")</f>
        <v>0.25</v>
      </c>
      <c r="L35" s="231"/>
      <c r="M35" s="231"/>
      <c r="N35" s="231"/>
      <c r="O35" s="231"/>
    </row>
    <row r="36" spans="1:15" x14ac:dyDescent="0.3">
      <c r="A36" s="65"/>
      <c r="B36" s="65"/>
      <c r="C36" s="65"/>
      <c r="D36" s="65"/>
      <c r="E36" s="65"/>
      <c r="F36" s="65"/>
      <c r="G36" s="65"/>
      <c r="H36" s="65"/>
      <c r="I36" s="237"/>
      <c r="J36" s="237"/>
      <c r="L36" s="231"/>
      <c r="M36" s="231"/>
      <c r="N36" s="231"/>
      <c r="O36" s="231"/>
    </row>
    <row r="37" spans="1:15" x14ac:dyDescent="0.3">
      <c r="I37" s="231"/>
      <c r="J37" s="231"/>
      <c r="L37" s="231"/>
      <c r="M37" s="231"/>
      <c r="N37" s="231"/>
      <c r="O37" s="231"/>
    </row>
    <row r="38" spans="1:15" x14ac:dyDescent="0.3">
      <c r="L38" s="231"/>
      <c r="M38" s="231"/>
      <c r="N38" s="231"/>
      <c r="O38" s="231"/>
    </row>
  </sheetData>
  <mergeCells count="2">
    <mergeCell ref="L19:N19"/>
    <mergeCell ref="L28:N28"/>
  </mergeCells>
  <pageMargins left="0.7" right="0.7" top="0.75" bottom="0.75" header="0.3" footer="0.3"/>
  <pageSetup paperSize="9" orientation="portrait" r:id="rId1"/>
  <ignoredErrors>
    <ignoredError sqref="C12" formula="1"/>
    <ignoredError sqref="J22:J23" formulaRange="1"/>
  </ignoredErrors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4" workbookViewId="0">
      <selection activeCell="R3" sqref="R3"/>
    </sheetView>
  </sheetViews>
  <sheetFormatPr baseColWidth="10" defaultRowHeight="14.4" x14ac:dyDescent="0.3"/>
  <cols>
    <col min="4" max="4" width="17" customWidth="1"/>
    <col min="7" max="7" width="13.664062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564</v>
      </c>
      <c r="B2" s="52" t="s">
        <v>51</v>
      </c>
      <c r="C2" s="53" t="s">
        <v>319</v>
      </c>
      <c r="D2" s="54">
        <f>SUM(Table_354567810111415161718192021222324272829303132333435363724[[#This Row],[Fixe]:[Retraite ]])</f>
        <v>2992083.69</v>
      </c>
      <c r="E2" s="55">
        <v>800000</v>
      </c>
      <c r="F2" s="55">
        <v>1072671</v>
      </c>
      <c r="G2" s="56"/>
      <c r="H2" s="56">
        <v>959947.98</v>
      </c>
      <c r="I2" s="55">
        <v>24091.15</v>
      </c>
      <c r="J2" s="55">
        <v>135373.56</v>
      </c>
      <c r="K2" s="58">
        <f>((J11*J7)*F2+(J24*J20)*G2+(J33*J29)*H2)/((J7*F2)+(J20*G2)+(J29*H2))</f>
        <v>0.48342956250421071</v>
      </c>
      <c r="L2" s="59">
        <f>1-K2</f>
        <v>0.51657043749578935</v>
      </c>
      <c r="M2" s="59">
        <f>(J7*F2+J20*G2+J29*H2)
/(F2+G2+H2)</f>
        <v>0.73139529278625548</v>
      </c>
      <c r="N2" s="92">
        <f>(J7*F2+J20*G2+J29*H2)/D2</f>
        <v>0.49686041836617206</v>
      </c>
      <c r="O2" s="61">
        <f>(F2*J10+G2*J23+H2*J32)/D2</f>
        <v>3.2082925461219304E-2</v>
      </c>
      <c r="P2" s="62">
        <f>(J8*F2+J21*G2+J30*H2)/D2</f>
        <v>0.18247184322574883</v>
      </c>
      <c r="Q2" s="62">
        <f>(J9*F2+J22*G2+J31*H2)/D2</f>
        <v>0.10557294822859717</v>
      </c>
      <c r="R2" s="62">
        <f>(J13*F2+J26*G2+J35*H2)/(F2+G2+H2)</f>
        <v>6.2465309226326322E-2</v>
      </c>
      <c r="S2" s="62">
        <f>(J13*F2+J26*G2+J35*H2)/D2</f>
        <v>4.2434699787758948E-2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565</v>
      </c>
      <c r="C7" s="87">
        <f>60%*67%</f>
        <v>0.40200000000000002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0.66999999999999993</v>
      </c>
      <c r="K7" s="65"/>
      <c r="L7" s="73" t="s">
        <v>470</v>
      </c>
      <c r="M7" s="99" t="s">
        <v>726</v>
      </c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566</v>
      </c>
      <c r="C8" s="87">
        <f>30%*67%</f>
        <v>0.20100000000000001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0.33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567</v>
      </c>
      <c r="C9" s="87">
        <f>10%*67%</f>
        <v>6.7000000000000004E-2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0.11549999999999999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568</v>
      </c>
      <c r="C10" s="87">
        <f>20%*33%</f>
        <v>6.6000000000000003E-2</v>
      </c>
      <c r="D10" s="23"/>
      <c r="E10" s="11" t="s">
        <v>197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569</v>
      </c>
      <c r="C11" s="87">
        <f>20%*33%</f>
        <v>6.6000000000000003E-2</v>
      </c>
      <c r="D11" s="23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570</v>
      </c>
      <c r="C12" s="88">
        <f>10%*33%</f>
        <v>3.3000000000000002E-2</v>
      </c>
      <c r="D12" s="23"/>
      <c r="E12" s="11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571</v>
      </c>
      <c r="C13" s="88">
        <f>15%*33%</f>
        <v>4.9500000000000002E-2</v>
      </c>
      <c r="D13" s="23"/>
      <c r="E13" s="11" t="s">
        <v>197</v>
      </c>
      <c r="F13" s="19"/>
      <c r="G13" s="20"/>
      <c r="H13" s="20"/>
      <c r="I13" s="44" t="s">
        <v>687</v>
      </c>
      <c r="J13" s="45">
        <f>1/4*(SUMIFS(C7:C17,E7:E17,"NF",H7:H17,"OUI"))</f>
        <v>2.8874999999999998E-2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572</v>
      </c>
      <c r="C14" s="88">
        <f>35%*33%</f>
        <v>0.11549999999999999</v>
      </c>
      <c r="D14" s="19"/>
      <c r="E14" s="11" t="s">
        <v>197</v>
      </c>
      <c r="F14" s="19"/>
      <c r="G14" s="20" t="s">
        <v>225</v>
      </c>
      <c r="H14" s="20" t="s">
        <v>225</v>
      </c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11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11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L26" s="65"/>
      <c r="M26" s="65"/>
      <c r="N26" s="30"/>
      <c r="O26" s="30"/>
      <c r="P26" s="30"/>
      <c r="Q26" s="30"/>
    </row>
    <row r="27" spans="1:17" ht="15" thickBot="1" x14ac:dyDescent="0.35"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366</v>
      </c>
      <c r="C29" s="78">
        <v>0.35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SUMIF(E29:E34,"F",C29:C34)</f>
        <v>0.79999999999999993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387</v>
      </c>
      <c r="C30" s="78">
        <v>0.35</v>
      </c>
      <c r="D30" s="33" t="s">
        <v>237</v>
      </c>
      <c r="E30" s="33" t="s">
        <v>103</v>
      </c>
      <c r="F30" s="33"/>
      <c r="G30" s="35"/>
      <c r="H30" s="8"/>
      <c r="I30" s="44" t="s">
        <v>212</v>
      </c>
      <c r="J30" s="45">
        <f>SUMIF(E29:E34,"NF",C29:C34)</f>
        <v>0.2</v>
      </c>
      <c r="L30" s="65"/>
      <c r="M30" s="65"/>
    </row>
    <row r="31" spans="1:17" ht="15" thickBot="1" x14ac:dyDescent="0.35">
      <c r="A31" s="8" t="s">
        <v>194</v>
      </c>
      <c r="B31" s="17" t="s">
        <v>727</v>
      </c>
      <c r="C31" s="78">
        <v>0.1</v>
      </c>
      <c r="D31" s="33" t="s">
        <v>237</v>
      </c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SUMIFS(C29:C34,E29:E34,"NF",G29:G34,"OUI")</f>
        <v>0.2</v>
      </c>
      <c r="L31" s="65"/>
      <c r="M31" s="65"/>
    </row>
    <row r="32" spans="1:17" ht="15" thickBot="1" x14ac:dyDescent="0.35">
      <c r="A32" s="25" t="s">
        <v>198</v>
      </c>
      <c r="B32" s="17" t="s">
        <v>729</v>
      </c>
      <c r="C32" s="78">
        <v>0.05</v>
      </c>
      <c r="D32" s="33" t="s">
        <v>237</v>
      </c>
      <c r="E32" s="33" t="s">
        <v>197</v>
      </c>
      <c r="F32" s="33"/>
      <c r="G32" s="35" t="s">
        <v>225</v>
      </c>
      <c r="H32" s="8"/>
      <c r="I32" s="44" t="s">
        <v>214</v>
      </c>
      <c r="J32" s="45">
        <f>SUMIFS(C29:C34,E29:E34,"F",F29:F34,"oui")</f>
        <v>0.1</v>
      </c>
      <c r="L32" s="65"/>
      <c r="M32" s="65"/>
    </row>
    <row r="33" spans="1:13" ht="15" thickBot="1" x14ac:dyDescent="0.35">
      <c r="A33" s="25" t="s">
        <v>200</v>
      </c>
      <c r="B33" s="26" t="s">
        <v>730</v>
      </c>
      <c r="C33" s="91">
        <v>0.05</v>
      </c>
      <c r="D33" s="38" t="s">
        <v>237</v>
      </c>
      <c r="E33" s="38" t="s">
        <v>197</v>
      </c>
      <c r="F33" s="38"/>
      <c r="G33" s="39" t="s">
        <v>225</v>
      </c>
      <c r="H33" s="39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 t="s">
        <v>408</v>
      </c>
      <c r="C34" s="67">
        <v>0.1</v>
      </c>
      <c r="D34" s="38" t="s">
        <v>237</v>
      </c>
      <c r="E34" s="38" t="s">
        <v>103</v>
      </c>
      <c r="F34" s="38" t="s">
        <v>225</v>
      </c>
      <c r="G34" s="39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4"/>
  <sheetViews>
    <sheetView topLeftCell="A2" zoomScale="53" workbookViewId="0">
      <pane xSplit="1" topLeftCell="I1" activePane="topRight" state="frozen"/>
      <selection pane="topRight" activeCell="V48" sqref="V48"/>
    </sheetView>
  </sheetViews>
  <sheetFormatPr baseColWidth="10" defaultRowHeight="14.4" x14ac:dyDescent="0.3"/>
  <cols>
    <col min="3" max="3" width="11.88671875" bestFit="1" customWidth="1"/>
    <col min="4" max="5" width="12.109375" customWidth="1"/>
    <col min="6" max="6" width="14.6640625" customWidth="1"/>
    <col min="7" max="7" width="13.21875" customWidth="1"/>
    <col min="8" max="8" width="23.77734375" customWidth="1"/>
    <col min="9" max="10" width="21.5546875" bestFit="1" customWidth="1"/>
    <col min="11" max="11" width="19.21875" bestFit="1" customWidth="1"/>
    <col min="12" max="12" width="23" customWidth="1"/>
    <col min="13" max="13" width="21.6640625" bestFit="1" customWidth="1"/>
    <col min="14" max="14" width="19.21875" bestFit="1" customWidth="1"/>
    <col min="15" max="15" width="11.88671875" bestFit="1" customWidth="1"/>
    <col min="16" max="16" width="16.109375" customWidth="1"/>
    <col min="17" max="17" width="14.44140625" customWidth="1"/>
    <col min="18" max="18" width="11.88671875" bestFit="1" customWidth="1"/>
    <col min="19" max="19" width="14.109375" customWidth="1"/>
    <col min="20" max="21" width="16.5546875" customWidth="1"/>
    <col min="22" max="22" width="13.77734375" customWidth="1"/>
    <col min="23" max="23" width="17.77734375" customWidth="1"/>
    <col min="24" max="24" width="16.5546875" customWidth="1"/>
    <col min="25" max="25" width="11.88671875" bestFit="1" customWidth="1"/>
    <col min="26" max="26" width="18.5546875" customWidth="1"/>
    <col min="27" max="27" width="11.88671875" bestFit="1" customWidth="1"/>
    <col min="28" max="31" width="14.109375" customWidth="1"/>
    <col min="32" max="32" width="51.88671875" style="231" customWidth="1"/>
    <col min="33" max="16384" width="11.5546875" style="231"/>
  </cols>
  <sheetData>
    <row r="1" spans="1:31" ht="101.4" customHeight="1" x14ac:dyDescent="0.3">
      <c r="A1" s="336" t="s">
        <v>0</v>
      </c>
      <c r="B1" s="336" t="s">
        <v>59</v>
      </c>
      <c r="C1" s="336" t="s">
        <v>23</v>
      </c>
      <c r="D1" s="336" t="s">
        <v>10</v>
      </c>
      <c r="E1" s="336" t="s">
        <v>62</v>
      </c>
      <c r="F1" s="336" t="s">
        <v>69</v>
      </c>
      <c r="G1" s="336" t="s">
        <v>63</v>
      </c>
      <c r="H1" s="337" t="s">
        <v>218</v>
      </c>
      <c r="I1" s="337" t="s">
        <v>172</v>
      </c>
      <c r="J1" s="337" t="s">
        <v>173</v>
      </c>
      <c r="K1" s="337" t="s">
        <v>174</v>
      </c>
      <c r="L1" s="337" t="s">
        <v>175</v>
      </c>
      <c r="M1" s="337" t="s">
        <v>176</v>
      </c>
      <c r="N1" s="337" t="s">
        <v>177</v>
      </c>
      <c r="O1" s="339" t="s">
        <v>178</v>
      </c>
      <c r="P1" s="339" t="s">
        <v>179</v>
      </c>
      <c r="Q1" s="339" t="s">
        <v>598</v>
      </c>
      <c r="R1" s="339" t="s">
        <v>226</v>
      </c>
      <c r="S1" s="341" t="s">
        <v>740</v>
      </c>
      <c r="T1" s="339" t="s">
        <v>227</v>
      </c>
      <c r="U1" s="341" t="s">
        <v>741</v>
      </c>
      <c r="V1" s="341" t="s">
        <v>180</v>
      </c>
      <c r="W1" s="341" t="s">
        <v>743</v>
      </c>
      <c r="X1" s="341" t="s">
        <v>181</v>
      </c>
      <c r="Y1" s="339" t="s">
        <v>682</v>
      </c>
      <c r="Z1" s="339" t="s">
        <v>683</v>
      </c>
      <c r="AA1" s="396" t="s">
        <v>739</v>
      </c>
      <c r="AB1" s="396" t="s">
        <v>738</v>
      </c>
      <c r="AC1" s="396" t="s">
        <v>736</v>
      </c>
      <c r="AD1" s="396" t="s">
        <v>737</v>
      </c>
      <c r="AE1" s="231"/>
    </row>
    <row r="2" spans="1:31" x14ac:dyDescent="0.3">
      <c r="A2" s="367" t="s">
        <v>44</v>
      </c>
      <c r="B2" s="367" t="s">
        <v>60</v>
      </c>
      <c r="C2" s="367">
        <v>2022</v>
      </c>
      <c r="D2" s="368" t="s">
        <v>126</v>
      </c>
      <c r="E2" s="367" t="s">
        <v>71</v>
      </c>
      <c r="F2" s="367" t="s">
        <v>125</v>
      </c>
      <c r="G2" s="369" t="s">
        <v>64</v>
      </c>
      <c r="H2" s="370">
        <v>4002594</v>
      </c>
      <c r="I2" s="370">
        <v>1193750</v>
      </c>
      <c r="J2" s="370">
        <v>1834429</v>
      </c>
      <c r="K2" s="371"/>
      <c r="L2" s="371">
        <v>961965</v>
      </c>
      <c r="M2" s="370">
        <v>12450</v>
      </c>
      <c r="N2" s="370"/>
      <c r="O2" s="372">
        <v>0.59729240221542823</v>
      </c>
      <c r="P2" s="372">
        <v>0.40270759778457177</v>
      </c>
      <c r="Q2" s="372">
        <v>0.76880039078899465</v>
      </c>
      <c r="R2" s="373">
        <v>0.53711887840735284</v>
      </c>
      <c r="S2" s="374">
        <f t="shared" ref="S2:S15" si="0">((T2*H2)/(J2+K2+L2))*100</f>
        <v>46.559980460550264</v>
      </c>
      <c r="T2" s="375">
        <v>0.32528917497003196</v>
      </c>
      <c r="U2" s="376">
        <f t="shared" ref="U2:U15" si="1">((V2*H2)/(J2+K2+L2))*100</f>
        <v>23.119960921100535</v>
      </c>
      <c r="V2" s="377">
        <v>0.16152655003230407</v>
      </c>
      <c r="W2" s="376">
        <f t="shared" ref="W2:W15" si="2">((X2*H2)/(J2+K2+L2))*100</f>
        <v>3.4400195394497337</v>
      </c>
      <c r="X2" s="377">
        <v>2.4033539249796506E-2</v>
      </c>
      <c r="Y2" s="377">
        <v>0.1</v>
      </c>
      <c r="Z2" s="377">
        <v>6.9864542843965691E-2</v>
      </c>
      <c r="AA2" s="395">
        <f>Tableau8[[#This Row],[Fixe]]/Tableau8[[#This Row],[Rémunération 
totale]]</f>
        <v>0.29824408870847258</v>
      </c>
      <c r="AB2" s="395">
        <f>(Tableau8[[#This Row],[Variable]]+Tableau8[[#This Row],[Bonus]])/Tableau8[[#This Row],[Rémunération 
totale]]</f>
        <v>0.45831003594169184</v>
      </c>
      <c r="AC2" s="395">
        <f>Tableau8[[#This Row],[Actions de performance]]/Tableau8[[#This Row],[Rémunération 
totale]]</f>
        <v>0.24033539249796507</v>
      </c>
      <c r="AD2" s="395">
        <f>(Tableau8[[#This Row],[Nature + Autres]]+Tableau8[[#This Row],[Retraite ]])/Tableau8[[#This Row],[Rémunération 
totale]]</f>
        <v>3.1104828518705619E-3</v>
      </c>
      <c r="AE2" s="231"/>
    </row>
    <row r="3" spans="1:31" x14ac:dyDescent="0.3">
      <c r="A3" s="378" t="s">
        <v>45</v>
      </c>
      <c r="B3" s="378" t="s">
        <v>60</v>
      </c>
      <c r="C3" s="378">
        <v>2022</v>
      </c>
      <c r="D3" s="379" t="s">
        <v>127</v>
      </c>
      <c r="E3" s="378" t="s">
        <v>128</v>
      </c>
      <c r="F3" s="378" t="s">
        <v>129</v>
      </c>
      <c r="G3" s="369" t="s">
        <v>64</v>
      </c>
      <c r="H3" s="321">
        <v>5011773</v>
      </c>
      <c r="I3" s="322">
        <v>1485000</v>
      </c>
      <c r="J3" s="322">
        <v>2041875</v>
      </c>
      <c r="K3" s="323"/>
      <c r="L3" s="323">
        <v>1484898</v>
      </c>
      <c r="M3" s="322"/>
      <c r="N3" s="322"/>
      <c r="O3" s="372">
        <v>0.37696317284732289</v>
      </c>
      <c r="P3" s="372">
        <v>0.62303682715267716</v>
      </c>
      <c r="Q3" s="372">
        <v>0.67578009698951425</v>
      </c>
      <c r="R3" s="372">
        <v>0.47554488202079381</v>
      </c>
      <c r="S3" s="374">
        <f t="shared" si="0"/>
        <v>31.577691561095655</v>
      </c>
      <c r="T3" s="375">
        <v>0.22221148084719719</v>
      </c>
      <c r="U3" s="376">
        <f t="shared" si="1"/>
        <v>32.421990301048581</v>
      </c>
      <c r="V3" s="373">
        <v>0.22815279143728179</v>
      </c>
      <c r="W3" s="376">
        <f t="shared" si="2"/>
        <v>6.3686052377059728</v>
      </c>
      <c r="X3" s="373">
        <v>4.481572688946607E-2</v>
      </c>
      <c r="Y3" s="373">
        <v>3.1843026188529862E-2</v>
      </c>
      <c r="Z3" s="373">
        <v>2.2407863444733035E-2</v>
      </c>
      <c r="AA3" s="395">
        <f>Tableau8[[#This Row],[Fixe]]/Tableau8[[#This Row],[Rémunération 
totale]]</f>
        <v>0.2963023265419244</v>
      </c>
      <c r="AB3" s="395">
        <f>(Tableau8[[#This Row],[Variable]]+Tableau8[[#This Row],[Bonus]])/Tableau8[[#This Row],[Rémunération 
totale]]</f>
        <v>0.40741569899514601</v>
      </c>
      <c r="AC3" s="395">
        <f>Tableau8[[#This Row],[Actions de performance]]/Tableau8[[#This Row],[Rémunération 
totale]]</f>
        <v>0.29628197446292959</v>
      </c>
      <c r="AD3" s="395">
        <f>(Tableau8[[#This Row],[Nature + Autres]]+Tableau8[[#This Row],[Retraite ]])/Tableau8[[#This Row],[Rémunération 
totale]]</f>
        <v>0</v>
      </c>
      <c r="AE3" s="231"/>
    </row>
    <row r="4" spans="1:31" x14ac:dyDescent="0.3">
      <c r="A4" s="378" t="s">
        <v>56</v>
      </c>
      <c r="B4" s="378" t="s">
        <v>60</v>
      </c>
      <c r="C4" s="378">
        <v>2022</v>
      </c>
      <c r="D4" s="379" t="s">
        <v>166</v>
      </c>
      <c r="E4" s="378" t="s">
        <v>164</v>
      </c>
      <c r="F4" s="378" t="s">
        <v>165</v>
      </c>
      <c r="G4" s="369" t="s">
        <v>64</v>
      </c>
      <c r="H4" s="321">
        <v>3573244</v>
      </c>
      <c r="I4" s="322">
        <v>950004</v>
      </c>
      <c r="J4" s="322">
        <v>1231248</v>
      </c>
      <c r="K4" s="323"/>
      <c r="L4" s="323">
        <v>1376749</v>
      </c>
      <c r="M4" s="322">
        <v>15243</v>
      </c>
      <c r="N4" s="322"/>
      <c r="O4" s="372">
        <v>0.35985299561117451</v>
      </c>
      <c r="P4" s="372">
        <v>0.64014700438882555</v>
      </c>
      <c r="Q4" s="372">
        <v>0.5772527422385838</v>
      </c>
      <c r="R4" s="372">
        <v>0.42131839303445273</v>
      </c>
      <c r="S4" s="374">
        <f t="shared" si="0"/>
        <v>10.557903249121834</v>
      </c>
      <c r="T4" s="375">
        <v>7.7058773484262474E-2</v>
      </c>
      <c r="U4" s="376">
        <f t="shared" si="1"/>
        <v>42.274725776141615</v>
      </c>
      <c r="V4" s="373">
        <v>0.30854976038580073</v>
      </c>
      <c r="W4" s="376">
        <f t="shared" si="2"/>
        <v>11.695266137192641</v>
      </c>
      <c r="X4" s="373">
        <v>8.5360022993112142E-2</v>
      </c>
      <c r="Y4" s="373">
        <v>9.8068467870170109E-2</v>
      </c>
      <c r="Z4" s="373">
        <v>7.1577051553154511E-2</v>
      </c>
      <c r="AA4" s="395">
        <f>Tableau8[[#This Row],[Fixe]]/Tableau8[[#This Row],[Rémunération 
totale]]</f>
        <v>0.26586597500758413</v>
      </c>
      <c r="AB4" s="395">
        <f>(Tableau8[[#This Row],[Variable]]+Tableau8[[#This Row],[Bonus]])/Tableau8[[#This Row],[Rémunération 
totale]]</f>
        <v>0.34457428599894102</v>
      </c>
      <c r="AC4" s="395">
        <f>Tableau8[[#This Row],[Actions de performance]]/Tableau8[[#This Row],[Rémunération 
totale]]</f>
        <v>0.38529386742131239</v>
      </c>
      <c r="AD4" s="395">
        <f>(Tableau8[[#This Row],[Nature + Autres]]+Tableau8[[#This Row],[Retraite ]])/Tableau8[[#This Row],[Rémunération 
totale]]</f>
        <v>4.2658715721624382E-3</v>
      </c>
      <c r="AE4" s="231"/>
    </row>
    <row r="5" spans="1:31" x14ac:dyDescent="0.3">
      <c r="A5" s="378" t="s">
        <v>21</v>
      </c>
      <c r="B5" s="378" t="s">
        <v>60</v>
      </c>
      <c r="C5" s="378">
        <v>2022</v>
      </c>
      <c r="D5" s="379" t="s">
        <v>154</v>
      </c>
      <c r="E5" s="378" t="s">
        <v>152</v>
      </c>
      <c r="F5" s="378" t="s">
        <v>153</v>
      </c>
      <c r="G5" s="369" t="s">
        <v>64</v>
      </c>
      <c r="H5" s="382">
        <v>7821668.7999999998</v>
      </c>
      <c r="I5" s="382">
        <v>1566961</v>
      </c>
      <c r="J5" s="382">
        <v>3129230.5</v>
      </c>
      <c r="K5" s="382">
        <v>0</v>
      </c>
      <c r="L5" s="382">
        <v>1558516.3</v>
      </c>
      <c r="M5" s="382">
        <v>1566961</v>
      </c>
      <c r="N5" s="382">
        <v>0</v>
      </c>
      <c r="O5" s="372">
        <v>0.70913957648000614</v>
      </c>
      <c r="P5" s="372">
        <v>0.29086042351999386</v>
      </c>
      <c r="Q5" s="372">
        <v>0.80013010408326668</v>
      </c>
      <c r="R5" s="373">
        <v>0.47954054702495208</v>
      </c>
      <c r="S5" s="374">
        <f t="shared" si="0"/>
        <v>16.623298638911127</v>
      </c>
      <c r="T5" s="375">
        <v>9.9628119001919382E-2</v>
      </c>
      <c r="U5" s="376">
        <f t="shared" si="1"/>
        <v>9.9739791833466782</v>
      </c>
      <c r="V5" s="373">
        <v>5.9776871401151635E-2</v>
      </c>
      <c r="W5" s="376">
        <f t="shared" si="2"/>
        <v>6.6493194555644521</v>
      </c>
      <c r="X5" s="373">
        <v>3.9851247600767754E-2</v>
      </c>
      <c r="Y5" s="373">
        <v>3.3246597277822261E-2</v>
      </c>
      <c r="Z5" s="373">
        <v>1.9925623800383877E-2</v>
      </c>
      <c r="AA5" s="395">
        <f>Tableau8[[#This Row],[Fixe]]/Tableau8[[#This Row],[Rémunération 
totale]]</f>
        <v>0.2003358925143954</v>
      </c>
      <c r="AB5" s="395">
        <f>(Tableau8[[#This Row],[Variable]]+Tableau8[[#This Row],[Bonus]])/Tableau8[[#This Row],[Rémunération 
totale]]</f>
        <v>0.40007197696737046</v>
      </c>
      <c r="AC5" s="395">
        <f>Tableau8[[#This Row],[Actions de performance]]/Tableau8[[#This Row],[Rémunération 
totale]]</f>
        <v>0.19925623800383879</v>
      </c>
      <c r="AD5" s="395">
        <f>(Tableau8[[#This Row],[Nature + Autres]]+Tableau8[[#This Row],[Retraite ]])/Tableau8[[#This Row],[Rémunération 
totale]]</f>
        <v>0.2003358925143954</v>
      </c>
      <c r="AE5" s="231"/>
    </row>
    <row r="6" spans="1:31" x14ac:dyDescent="0.3">
      <c r="A6" s="378" t="s">
        <v>38</v>
      </c>
      <c r="B6" s="378" t="s">
        <v>60</v>
      </c>
      <c r="C6" s="378">
        <v>2022</v>
      </c>
      <c r="D6" s="379" t="s">
        <v>89</v>
      </c>
      <c r="E6" s="378" t="s">
        <v>90</v>
      </c>
      <c r="F6" s="378" t="s">
        <v>91</v>
      </c>
      <c r="G6" s="369" t="s">
        <v>64</v>
      </c>
      <c r="H6" s="321">
        <v>5331739</v>
      </c>
      <c r="I6" s="322">
        <v>1585000</v>
      </c>
      <c r="J6" s="322">
        <v>1282656</v>
      </c>
      <c r="K6" s="323">
        <v>549710</v>
      </c>
      <c r="L6" s="323">
        <v>1910398</v>
      </c>
      <c r="M6" s="322">
        <v>3975</v>
      </c>
      <c r="N6" s="322"/>
      <c r="O6" s="372">
        <v>0.35413714403635765</v>
      </c>
      <c r="P6" s="372">
        <v>0.64586285596364235</v>
      </c>
      <c r="Q6" s="372">
        <v>0.47417903987534343</v>
      </c>
      <c r="R6" s="373">
        <v>0.33286330032284028</v>
      </c>
      <c r="S6" s="374">
        <f t="shared" si="0"/>
        <v>5.1042438155331205</v>
      </c>
      <c r="T6" s="375">
        <v>3.583067363199887E-2</v>
      </c>
      <c r="U6" s="376">
        <f t="shared" si="1"/>
        <v>32.790578299887464</v>
      </c>
      <c r="V6" s="373">
        <v>0.23018267773422516</v>
      </c>
      <c r="W6" s="376">
        <f t="shared" si="2"/>
        <v>10.208487631066241</v>
      </c>
      <c r="X6" s="373">
        <v>7.1661347263997741E-2</v>
      </c>
      <c r="Y6" s="373">
        <v>8.7026240500336124E-2</v>
      </c>
      <c r="Z6" s="373">
        <v>6.109051474575182E-2</v>
      </c>
      <c r="AA6" s="395">
        <f>Tableau8[[#This Row],[Fixe]]/Tableau8[[#This Row],[Rémunération 
totale]]</f>
        <v>0.2972763670539762</v>
      </c>
      <c r="AB6" s="395">
        <f>(Tableau8[[#This Row],[Variable]]+Tableau8[[#This Row],[Bonus]])/Tableau8[[#This Row],[Rémunération 
totale]]</f>
        <v>0.34367136125755593</v>
      </c>
      <c r="AC6" s="395">
        <f>Tableau8[[#This Row],[Actions de performance]]/Tableau8[[#This Row],[Rémunération 
totale]]</f>
        <v>0.35830673631998866</v>
      </c>
      <c r="AD6" s="395">
        <f>(Tableau8[[#This Row],[Nature + Autres]]+Tableau8[[#This Row],[Retraite ]])/Tableau8[[#This Row],[Rémunération 
totale]]</f>
        <v>7.4553536847921478E-4</v>
      </c>
      <c r="AE6" s="231"/>
    </row>
    <row r="7" spans="1:31" x14ac:dyDescent="0.3">
      <c r="A7" s="378" t="s">
        <v>37</v>
      </c>
      <c r="B7" s="378" t="s">
        <v>60</v>
      </c>
      <c r="C7" s="378">
        <v>2022</v>
      </c>
      <c r="D7" s="379" t="s">
        <v>88</v>
      </c>
      <c r="E7" s="378" t="s">
        <v>86</v>
      </c>
      <c r="F7" s="378" t="s">
        <v>87</v>
      </c>
      <c r="G7" s="369" t="s">
        <v>64</v>
      </c>
      <c r="H7" s="321">
        <v>4603815</v>
      </c>
      <c r="I7" s="322">
        <v>1843000</v>
      </c>
      <c r="J7" s="322">
        <v>1931464</v>
      </c>
      <c r="K7" s="323"/>
      <c r="L7" s="323">
        <v>759685</v>
      </c>
      <c r="M7" s="322">
        <v>69666</v>
      </c>
      <c r="N7" s="322"/>
      <c r="O7" s="372">
        <v>0.65598385714149865</v>
      </c>
      <c r="P7" s="372">
        <v>0.34401614285850135</v>
      </c>
      <c r="Q7" s="372">
        <v>0.82057255098101223</v>
      </c>
      <c r="R7" s="372">
        <v>0.47966371368093635</v>
      </c>
      <c r="S7" s="374">
        <f t="shared" si="0"/>
        <v>55.143137745253043</v>
      </c>
      <c r="T7" s="375">
        <v>0.3223378871653183</v>
      </c>
      <c r="U7" s="376">
        <f t="shared" si="1"/>
        <v>17.942744901898781</v>
      </c>
      <c r="V7" s="373">
        <v>0.10488388434374535</v>
      </c>
      <c r="W7" s="376">
        <f t="shared" si="2"/>
        <v>7.1770979607595109</v>
      </c>
      <c r="X7" s="373">
        <v>4.1953553737498137E-2</v>
      </c>
      <c r="Y7" s="380">
        <v>7.1770979607595122E-3</v>
      </c>
      <c r="Z7" s="380">
        <v>4.1953553737498137E-3</v>
      </c>
      <c r="AA7" s="395">
        <f>Tableau8[[#This Row],[Fixe]]/Tableau8[[#This Row],[Rémunération 
totale]]</f>
        <v>0.40032016925093644</v>
      </c>
      <c r="AB7" s="395">
        <f>(Tableau8[[#This Row],[Variable]]+Tableau8[[#This Row],[Bonus]])/Tableau8[[#This Row],[Rémunération 
totale]]</f>
        <v>0.41953553737498139</v>
      </c>
      <c r="AC7" s="395">
        <f>Tableau8[[#This Row],[Actions de performance]]/Tableau8[[#This Row],[Rémunération 
totale]]</f>
        <v>0.16501206064970031</v>
      </c>
      <c r="AD7" s="395">
        <f>(Tableau8[[#This Row],[Nature + Autres]]+Tableau8[[#This Row],[Retraite ]])/Tableau8[[#This Row],[Rémunération 
totale]]</f>
        <v>1.5132232724381843E-2</v>
      </c>
      <c r="AE7" s="231"/>
    </row>
    <row r="8" spans="1:31" x14ac:dyDescent="0.3">
      <c r="A8" s="378" t="s">
        <v>48</v>
      </c>
      <c r="B8" s="378" t="s">
        <v>60</v>
      </c>
      <c r="C8" s="378">
        <v>2022</v>
      </c>
      <c r="D8" s="379" t="s">
        <v>136</v>
      </c>
      <c r="E8" s="378" t="s">
        <v>137</v>
      </c>
      <c r="F8" s="378" t="s">
        <v>138</v>
      </c>
      <c r="G8" s="369" t="s">
        <v>64</v>
      </c>
      <c r="H8" s="321">
        <v>6023640</v>
      </c>
      <c r="I8" s="322">
        <v>1500000</v>
      </c>
      <c r="J8" s="322">
        <v>2067000</v>
      </c>
      <c r="K8" s="323">
        <v>1389454</v>
      </c>
      <c r="L8" s="322">
        <v>909700</v>
      </c>
      <c r="M8" s="322">
        <v>125636</v>
      </c>
      <c r="N8" s="322">
        <v>31850</v>
      </c>
      <c r="O8" s="372">
        <v>0.45631708269465487</v>
      </c>
      <c r="P8" s="372">
        <v>0.54368291730534513</v>
      </c>
      <c r="Q8" s="372">
        <v>0.66714586414801991</v>
      </c>
      <c r="R8" s="373">
        <v>0.48357165822216025</v>
      </c>
      <c r="S8" s="374">
        <f t="shared" si="0"/>
        <v>14.364575779965616</v>
      </c>
      <c r="T8" s="375">
        <v>0.10411968510734373</v>
      </c>
      <c r="U8" s="376">
        <f t="shared" si="1"/>
        <v>34.468949484298236</v>
      </c>
      <c r="V8" s="373">
        <v>0.24984351931168974</v>
      </c>
      <c r="W8" s="376">
        <f t="shared" si="2"/>
        <v>0</v>
      </c>
      <c r="X8" s="373">
        <v>0</v>
      </c>
      <c r="Y8" s="381">
        <v>0.10747387746744617</v>
      </c>
      <c r="Z8" s="381">
        <v>7.7900986778758355E-2</v>
      </c>
      <c r="AA8" s="395">
        <f>Tableau8[[#This Row],[Fixe]]/Tableau8[[#This Row],[Rémunération 
totale]]</f>
        <v>0.2490188656692631</v>
      </c>
      <c r="AB8" s="395">
        <f>(Tableau8[[#This Row],[Variable]]+Tableau8[[#This Row],[Bonus]])/Tableau8[[#This Row],[Rémunération 
totale]]</f>
        <v>0.57381483621199147</v>
      </c>
      <c r="AC8" s="395">
        <f>Tableau8[[#This Row],[Actions de performance]]/Tableau8[[#This Row],[Rémunération 
totale]]</f>
        <v>0.15102164139955243</v>
      </c>
      <c r="AD8" s="395">
        <f>(Tableau8[[#This Row],[Nature + Autres]]+Tableau8[[#This Row],[Retraite ]])/Tableau8[[#This Row],[Rémunération 
totale]]</f>
        <v>2.6144656719193048E-2</v>
      </c>
      <c r="AE8" s="231"/>
    </row>
    <row r="9" spans="1:31" x14ac:dyDescent="0.3">
      <c r="A9" s="378" t="s">
        <v>15</v>
      </c>
      <c r="B9" s="378" t="s">
        <v>60</v>
      </c>
      <c r="C9" s="378">
        <v>2022</v>
      </c>
      <c r="D9" s="379" t="s">
        <v>34</v>
      </c>
      <c r="E9" s="378" t="s">
        <v>110</v>
      </c>
      <c r="F9" s="378" t="s">
        <v>111</v>
      </c>
      <c r="G9" s="369" t="s">
        <v>64</v>
      </c>
      <c r="H9" s="321">
        <v>4913313</v>
      </c>
      <c r="I9" s="322">
        <v>1000000</v>
      </c>
      <c r="J9" s="322">
        <v>1112320</v>
      </c>
      <c r="K9" s="323">
        <v>414720</v>
      </c>
      <c r="L9" s="322">
        <v>2386273</v>
      </c>
      <c r="M9" s="322"/>
      <c r="N9" s="322"/>
      <c r="O9" s="372">
        <v>0.24783887821446471</v>
      </c>
      <c r="P9" s="372">
        <v>0.75216112178553529</v>
      </c>
      <c r="Q9" s="372">
        <v>0.68812442935180507</v>
      </c>
      <c r="R9" s="373">
        <v>0.54807138788023491</v>
      </c>
      <c r="S9" s="374">
        <f t="shared" si="0"/>
        <v>24.753295992423809</v>
      </c>
      <c r="T9" s="375">
        <v>0.19715290884175299</v>
      </c>
      <c r="U9" s="376">
        <f t="shared" si="1"/>
        <v>31.187557064819504</v>
      </c>
      <c r="V9" s="373">
        <v>0.24839995436887496</v>
      </c>
      <c r="W9" s="376">
        <f t="shared" si="2"/>
        <v>25.502757510068836</v>
      </c>
      <c r="X9" s="373">
        <v>0.20312215505098088</v>
      </c>
      <c r="Y9" s="373">
        <v>0.22660357732693501</v>
      </c>
      <c r="Z9" s="373">
        <v>0.18048325539203383</v>
      </c>
      <c r="AA9" s="395">
        <f>Tableau8[[#This Row],[Fixe]]/Tableau8[[#This Row],[Rémunération 
totale]]</f>
        <v>0.2035286577508903</v>
      </c>
      <c r="AB9" s="395">
        <f>(Tableau8[[#This Row],[Variable]]+Tableau8[[#This Row],[Bonus]])/Tableau8[[#This Row],[Rémunération 
totale]]</f>
        <v>0.31079640153191951</v>
      </c>
      <c r="AC9" s="395">
        <f>Tableau8[[#This Row],[Actions de performance]]/Tableau8[[#This Row],[Rémunération 
totale]]</f>
        <v>0.4856749407171902</v>
      </c>
      <c r="AD9" s="395">
        <f>(Tableau8[[#This Row],[Nature + Autres]]+Tableau8[[#This Row],[Retraite ]])/Tableau8[[#This Row],[Rémunération 
totale]]</f>
        <v>0</v>
      </c>
      <c r="AE9" s="231"/>
    </row>
    <row r="10" spans="1:31" x14ac:dyDescent="0.3">
      <c r="A10" s="378" t="s">
        <v>11</v>
      </c>
      <c r="B10" s="378" t="s">
        <v>60</v>
      </c>
      <c r="C10" s="378">
        <v>2022</v>
      </c>
      <c r="D10" s="379" t="s">
        <v>12</v>
      </c>
      <c r="E10" s="378" t="s">
        <v>112</v>
      </c>
      <c r="F10" s="378" t="s">
        <v>113</v>
      </c>
      <c r="G10" s="369" t="s">
        <v>64</v>
      </c>
      <c r="H10" s="321">
        <v>9331946</v>
      </c>
      <c r="I10" s="322">
        <v>1500000</v>
      </c>
      <c r="J10" s="322">
        <v>2850000</v>
      </c>
      <c r="K10" s="323"/>
      <c r="L10" s="322">
        <v>4897894</v>
      </c>
      <c r="M10" s="322">
        <v>84052</v>
      </c>
      <c r="N10" s="322"/>
      <c r="O10" s="372">
        <v>0.27949832698185645</v>
      </c>
      <c r="P10" s="372">
        <v>0.7205016730181435</v>
      </c>
      <c r="Q10" s="372">
        <v>0.65803952661200582</v>
      </c>
      <c r="R10" s="373">
        <v>0.54634054890587669</v>
      </c>
      <c r="S10" s="374">
        <f t="shared" si="0"/>
        <v>15.803952661200579</v>
      </c>
      <c r="T10" s="375">
        <v>0.13121309317477833</v>
      </c>
      <c r="U10" s="376">
        <f t="shared" si="1"/>
        <v>34.196047338799424</v>
      </c>
      <c r="V10" s="373">
        <v>0.28391436255631997</v>
      </c>
      <c r="W10" s="376">
        <f t="shared" si="2"/>
        <v>11.035256806559309</v>
      </c>
      <c r="X10" s="373">
        <v>9.1620761628925004E-2</v>
      </c>
      <c r="Y10" s="373">
        <v>0.23160790532240116</v>
      </c>
      <c r="Z10" s="373">
        <v>0.192293600927395</v>
      </c>
      <c r="AA10" s="395">
        <f>Tableau8[[#This Row],[Fixe]]/Tableau8[[#This Row],[Rémunération 
totale]]</f>
        <v>0.16073817829635961</v>
      </c>
      <c r="AB10" s="395">
        <f>(Tableau8[[#This Row],[Variable]]+Tableau8[[#This Row],[Bonus]])/Tableau8[[#This Row],[Rémunération 
totale]]</f>
        <v>0.30540253876308326</v>
      </c>
      <c r="AC10" s="395">
        <f>Tableau8[[#This Row],[Actions de performance]]/Tableau8[[#This Row],[Rémunération 
totale]]</f>
        <v>0.52485237269911333</v>
      </c>
      <c r="AD10" s="395">
        <f>(Tableau8[[#This Row],[Nature + Autres]]+Tableau8[[#This Row],[Retraite ]])/Tableau8[[#This Row],[Rémunération 
totale]]</f>
        <v>9.0069102414437469E-3</v>
      </c>
      <c r="AE10" s="231"/>
    </row>
    <row r="11" spans="1:31" x14ac:dyDescent="0.3">
      <c r="A11" s="378" t="s">
        <v>39</v>
      </c>
      <c r="B11" s="378" t="s">
        <v>60</v>
      </c>
      <c r="C11" s="378">
        <v>2022</v>
      </c>
      <c r="D11" s="379" t="s">
        <v>94</v>
      </c>
      <c r="E11" s="378" t="s">
        <v>92</v>
      </c>
      <c r="F11" s="378" t="s">
        <v>93</v>
      </c>
      <c r="G11" s="369" t="s">
        <v>64</v>
      </c>
      <c r="H11" s="321">
        <v>2451793</v>
      </c>
      <c r="I11" s="322">
        <v>1100000</v>
      </c>
      <c r="J11" s="322">
        <v>1244000</v>
      </c>
      <c r="K11" s="323"/>
      <c r="L11" s="323">
        <v>101954</v>
      </c>
      <c r="M11" s="322">
        <v>5839</v>
      </c>
      <c r="N11" s="322"/>
      <c r="O11" s="372">
        <v>0.91661396259186423</v>
      </c>
      <c r="P11" s="372">
        <v>8.3386037408135771E-2</v>
      </c>
      <c r="Q11" s="372">
        <v>0.60499940116824202</v>
      </c>
      <c r="R11" s="372">
        <v>0.33212484251321384</v>
      </c>
      <c r="S11" s="374">
        <f t="shared" si="0"/>
        <v>60.499940116824206</v>
      </c>
      <c r="T11" s="375">
        <v>0.33212484251321384</v>
      </c>
      <c r="U11" s="376">
        <f t="shared" si="1"/>
        <v>39.492485032920882</v>
      </c>
      <c r="V11" s="373">
        <v>0.21680079925181281</v>
      </c>
      <c r="W11" s="376">
        <f t="shared" si="2"/>
        <v>24.704461073706831</v>
      </c>
      <c r="X11" s="373">
        <v>0.13561939445948334</v>
      </c>
      <c r="Y11" s="373">
        <v>7.3940119796070292E-2</v>
      </c>
      <c r="Z11" s="373">
        <v>4.0590702396164767E-2</v>
      </c>
      <c r="AA11" s="395">
        <f>Tableau8[[#This Row],[Fixe]]/Tableau8[[#This Row],[Rémunération 
totale]]</f>
        <v>0.44865125236918452</v>
      </c>
      <c r="AB11" s="395">
        <f>(Tableau8[[#This Row],[Variable]]+Tableau8[[#This Row],[Bonus]])/Tableau8[[#This Row],[Rémunération 
totale]]</f>
        <v>0.50738377995205952</v>
      </c>
      <c r="AC11" s="395">
        <f>Tableau8[[#This Row],[Actions de performance]]/Tableau8[[#This Row],[Rémunération 
totale]]</f>
        <v>4.1583445258225306E-2</v>
      </c>
      <c r="AD11" s="395">
        <f>(Tableau8[[#This Row],[Nature + Autres]]+Tableau8[[#This Row],[Retraite ]])/Tableau8[[#This Row],[Rémunération 
totale]]</f>
        <v>2.3815224205306078E-3</v>
      </c>
      <c r="AE11" s="231"/>
    </row>
    <row r="12" spans="1:31" x14ac:dyDescent="0.3">
      <c r="A12" s="378" t="s">
        <v>14</v>
      </c>
      <c r="B12" s="378" t="s">
        <v>60</v>
      </c>
      <c r="C12" s="378">
        <v>2022</v>
      </c>
      <c r="D12" s="379" t="s">
        <v>33</v>
      </c>
      <c r="E12" s="378" t="s">
        <v>114</v>
      </c>
      <c r="F12" s="378" t="s">
        <v>115</v>
      </c>
      <c r="G12" s="369" t="s">
        <v>64</v>
      </c>
      <c r="H12" s="321">
        <v>5700464</v>
      </c>
      <c r="I12" s="322">
        <v>1400000</v>
      </c>
      <c r="J12" s="322">
        <v>2121000</v>
      </c>
      <c r="K12" s="323"/>
      <c r="L12" s="322">
        <v>2132571</v>
      </c>
      <c r="M12" s="322">
        <v>46893</v>
      </c>
      <c r="N12" s="322"/>
      <c r="O12" s="372">
        <v>0.4601866413741203</v>
      </c>
      <c r="P12" s="372">
        <v>0.53981335862587976</v>
      </c>
      <c r="Q12" s="372">
        <v>0.65013601512705443</v>
      </c>
      <c r="R12" s="373">
        <v>0.48511835176925949</v>
      </c>
      <c r="S12" s="374">
        <f t="shared" si="0"/>
        <v>42.574808319879928</v>
      </c>
      <c r="T12" s="375">
        <v>0.31768461304202605</v>
      </c>
      <c r="U12" s="376">
        <f t="shared" si="1"/>
        <v>34.986398487294544</v>
      </c>
      <c r="V12" s="373">
        <v>0.26106143289388367</v>
      </c>
      <c r="W12" s="376">
        <f t="shared" si="2"/>
        <v>15.040804538116326</v>
      </c>
      <c r="X12" s="373">
        <v>0.11223144291412067</v>
      </c>
      <c r="Y12" s="373">
        <v>0.15040804538116326</v>
      </c>
      <c r="Z12" s="373">
        <v>0.11223144291412067</v>
      </c>
      <c r="AA12" s="395">
        <f>Tableau8[[#This Row],[Fixe]]/Tableau8[[#This Row],[Rémunération 
totale]]</f>
        <v>0.24559404287089612</v>
      </c>
      <c r="AB12" s="395">
        <f>(Tableau8[[#This Row],[Variable]]+Tableau8[[#This Row],[Bonus]])/Tableau8[[#This Row],[Rémunération 
totale]]</f>
        <v>0.37207497494940761</v>
      </c>
      <c r="AC12" s="395">
        <f>Tableau8[[#This Row],[Actions de performance]]/Tableau8[[#This Row],[Rémunération 
totale]]</f>
        <v>0.37410480971373561</v>
      </c>
      <c r="AD12" s="395">
        <f>(Tableau8[[#This Row],[Nature + Autres]]+Tableau8[[#This Row],[Retraite ]])/Tableau8[[#This Row],[Rémunération 
totale]]</f>
        <v>8.2261724659606662E-3</v>
      </c>
      <c r="AE12" s="231"/>
    </row>
    <row r="13" spans="1:31" x14ac:dyDescent="0.3">
      <c r="A13" s="378" t="s">
        <v>1</v>
      </c>
      <c r="B13" s="378" t="s">
        <v>60</v>
      </c>
      <c r="C13" s="378">
        <v>2022</v>
      </c>
      <c r="D13" s="379" t="s">
        <v>5</v>
      </c>
      <c r="E13" s="378" t="s">
        <v>108</v>
      </c>
      <c r="F13" s="378" t="s">
        <v>109</v>
      </c>
      <c r="G13" s="369" t="s">
        <v>64</v>
      </c>
      <c r="H13" s="321">
        <v>32962337</v>
      </c>
      <c r="I13" s="322">
        <v>1445000</v>
      </c>
      <c r="J13" s="322">
        <v>1590000</v>
      </c>
      <c r="K13" s="323"/>
      <c r="L13" s="322">
        <v>29865000</v>
      </c>
      <c r="M13" s="322">
        <v>62337</v>
      </c>
      <c r="N13" s="322"/>
      <c r="O13" s="372">
        <v>0.98981307962135412</v>
      </c>
      <c r="P13" s="372">
        <v>1.0186920378645881E-2</v>
      </c>
      <c r="Q13" s="372">
        <v>0.99241773962804003</v>
      </c>
      <c r="R13" s="373">
        <v>0.94703539982617135</v>
      </c>
      <c r="S13" s="374">
        <f t="shared" si="0"/>
        <v>95.956127801621363</v>
      </c>
      <c r="T13" s="375">
        <v>0.91568143363135934</v>
      </c>
      <c r="U13" s="376">
        <f t="shared" si="1"/>
        <v>0.75822603719599424</v>
      </c>
      <c r="V13" s="373">
        <v>7.2355306603412248E-3</v>
      </c>
      <c r="W13" s="376">
        <f t="shared" si="2"/>
        <v>0.75822603719599424</v>
      </c>
      <c r="X13" s="373">
        <v>7.2355306603412248E-3</v>
      </c>
      <c r="Y13" s="373">
        <v>1.8955650929899856E-3</v>
      </c>
      <c r="Z13" s="373">
        <v>1.8088826650853062E-3</v>
      </c>
      <c r="AA13" s="395">
        <f>Tableau8[[#This Row],[Fixe]]/Tableau8[[#This Row],[Rémunération 
totale]]</f>
        <v>4.383791112869212E-2</v>
      </c>
      <c r="AB13" s="395">
        <f>(Tableau8[[#This Row],[Variable]]+Tableau8[[#This Row],[Bonus]])/Tableau8[[#This Row],[Rémunération 
totale]]</f>
        <v>4.8236871068941499E-2</v>
      </c>
      <c r="AC13" s="395">
        <f>Tableau8[[#This Row],[Actions de performance]]/Tableau8[[#This Row],[Rémunération 
totale]]</f>
        <v>0.90603405941757098</v>
      </c>
      <c r="AD13" s="395">
        <f>(Tableau8[[#This Row],[Nature + Autres]]+Tableau8[[#This Row],[Retraite ]])/Tableau8[[#This Row],[Rémunération 
totale]]</f>
        <v>1.8911583847953499E-3</v>
      </c>
      <c r="AE13" s="231"/>
    </row>
    <row r="14" spans="1:31" hidden="1" x14ac:dyDescent="0.3">
      <c r="A14" s="378" t="s">
        <v>42</v>
      </c>
      <c r="B14" s="378" t="s">
        <v>60</v>
      </c>
      <c r="C14" s="378">
        <v>2022</v>
      </c>
      <c r="D14" s="379" t="s">
        <v>104</v>
      </c>
      <c r="E14" s="378" t="s">
        <v>101</v>
      </c>
      <c r="F14" s="378" t="s">
        <v>102</v>
      </c>
      <c r="G14" s="369" t="s">
        <v>103</v>
      </c>
      <c r="H14" s="321">
        <v>3730992</v>
      </c>
      <c r="I14" s="322">
        <v>1000000</v>
      </c>
      <c r="J14" s="322">
        <v>1136000</v>
      </c>
      <c r="K14" s="323"/>
      <c r="L14" s="323">
        <v>1054800</v>
      </c>
      <c r="M14" s="322">
        <v>6192</v>
      </c>
      <c r="N14" s="322">
        <v>534000</v>
      </c>
      <c r="O14" s="372">
        <v>0.46668014966123977</v>
      </c>
      <c r="P14" s="372">
        <v>0.53331985033876017</v>
      </c>
      <c r="Q14" s="372">
        <v>0.7222201935366076</v>
      </c>
      <c r="R14" s="372">
        <v>0.42408024461054861</v>
      </c>
      <c r="S14" s="374">
        <f t="shared" si="0"/>
        <v>46.943582253058239</v>
      </c>
      <c r="T14" s="375">
        <v>0.27564787059312912</v>
      </c>
      <c r="U14" s="376">
        <f t="shared" si="1"/>
        <v>27.777980646339234</v>
      </c>
      <c r="V14" s="373">
        <v>0.16310943577472156</v>
      </c>
      <c r="W14" s="376">
        <f t="shared" si="2"/>
        <v>15.073945590651816</v>
      </c>
      <c r="X14" s="373">
        <v>8.851265293519793E-2</v>
      </c>
      <c r="Y14" s="373">
        <v>8.5831659667701315E-2</v>
      </c>
      <c r="Z14" s="373">
        <v>5.0399464807214821E-2</v>
      </c>
      <c r="AA14" s="395">
        <f>Tableau8[[#This Row],[Fixe]]/Tableau8[[#This Row],[Rémunération 
totale]]</f>
        <v>0.2680252329675325</v>
      </c>
      <c r="AB14" s="395">
        <f>(Tableau8[[#This Row],[Variable]]+Tableau8[[#This Row],[Bonus]])/Tableau8[[#This Row],[Rémunération 
totale]]</f>
        <v>0.30447666465111689</v>
      </c>
      <c r="AC14" s="395">
        <f>Tableau8[[#This Row],[Actions de performance]]/Tableau8[[#This Row],[Rémunération 
totale]]</f>
        <v>0.28271301573415325</v>
      </c>
      <c r="AD14" s="395">
        <f>(Tableau8[[#This Row],[Nature + Autres]]+Tableau8[[#This Row],[Retraite ]])/Tableau8[[#This Row],[Rémunération 
totale]]</f>
        <v>0.1447850866471973</v>
      </c>
      <c r="AE14" s="231"/>
    </row>
    <row r="15" spans="1:31" x14ac:dyDescent="0.3">
      <c r="A15" s="378" t="s">
        <v>13</v>
      </c>
      <c r="B15" s="378" t="s">
        <v>60</v>
      </c>
      <c r="C15" s="378">
        <v>2022</v>
      </c>
      <c r="D15" s="379" t="s">
        <v>32</v>
      </c>
      <c r="E15" s="378" t="s">
        <v>116</v>
      </c>
      <c r="F15" s="378" t="s">
        <v>117</v>
      </c>
      <c r="G15" s="369" t="s">
        <v>64</v>
      </c>
      <c r="H15" s="321">
        <v>7496074</v>
      </c>
      <c r="I15" s="322">
        <v>1500000</v>
      </c>
      <c r="J15" s="322">
        <v>2437500</v>
      </c>
      <c r="K15" s="323"/>
      <c r="L15" s="322">
        <v>3430000</v>
      </c>
      <c r="M15" s="322">
        <v>100000</v>
      </c>
      <c r="N15" s="322">
        <v>28574</v>
      </c>
      <c r="O15" s="372">
        <v>0.3467437208268504</v>
      </c>
      <c r="P15" s="372">
        <v>0.65325627917314955</v>
      </c>
      <c r="Q15" s="372">
        <v>0.95845760545377079</v>
      </c>
      <c r="R15" s="373">
        <v>0.75022605166384426</v>
      </c>
      <c r="S15" s="374">
        <f t="shared" si="0"/>
        <v>75.074563272262466</v>
      </c>
      <c r="T15" s="375">
        <v>0.58764094377937037</v>
      </c>
      <c r="U15" s="376">
        <f t="shared" si="1"/>
        <v>4.1542394546229229</v>
      </c>
      <c r="V15" s="373">
        <v>3.2517021576894782E-2</v>
      </c>
      <c r="W15" s="376">
        <f t="shared" si="2"/>
        <v>4.1542394546229229</v>
      </c>
      <c r="X15" s="373">
        <v>3.2517021576894782E-2</v>
      </c>
      <c r="Y15" s="373">
        <v>0</v>
      </c>
      <c r="Z15" s="373">
        <v>0</v>
      </c>
      <c r="AA15" s="395">
        <f>Tableau8[[#This Row],[Fixe]]/Tableau8[[#This Row],[Rémunération 
totale]]</f>
        <v>0.20010474816550636</v>
      </c>
      <c r="AB15" s="395">
        <f>(Tableau8[[#This Row],[Variable]]+Tableau8[[#This Row],[Bonus]])/Tableau8[[#This Row],[Rémunération 
totale]]</f>
        <v>0.32517021576894783</v>
      </c>
      <c r="AC15" s="395">
        <f>Tableau8[[#This Row],[Actions de performance]]/Tableau8[[#This Row],[Rémunération 
totale]]</f>
        <v>0.45757285747179122</v>
      </c>
      <c r="AD15" s="395">
        <f>(Tableau8[[#This Row],[Nature + Autres]]+Tableau8[[#This Row],[Retraite ]])/Tableau8[[#This Row],[Rémunération 
totale]]</f>
        <v>1.7152178593754543E-2</v>
      </c>
      <c r="AE15" s="231"/>
    </row>
    <row r="16" spans="1:31" x14ac:dyDescent="0.3">
      <c r="A16" s="378" t="s">
        <v>55</v>
      </c>
      <c r="B16" s="378" t="s">
        <v>60</v>
      </c>
      <c r="C16" s="378">
        <v>2022</v>
      </c>
      <c r="D16" s="379" t="s">
        <v>163</v>
      </c>
      <c r="E16" s="378" t="s">
        <v>161</v>
      </c>
      <c r="F16" s="378" t="s">
        <v>162</v>
      </c>
      <c r="G16" s="369" t="s">
        <v>64</v>
      </c>
      <c r="H16" s="321">
        <v>1275400</v>
      </c>
      <c r="I16" s="322">
        <v>1252000</v>
      </c>
      <c r="J16" s="322"/>
      <c r="K16" s="323"/>
      <c r="L16" s="323"/>
      <c r="M16" s="322">
        <v>11400</v>
      </c>
      <c r="N16" s="322">
        <v>12000</v>
      </c>
      <c r="O16" s="372"/>
      <c r="P16" s="372"/>
      <c r="Q16" s="372">
        <v>0</v>
      </c>
      <c r="R16" s="372">
        <v>0</v>
      </c>
      <c r="S16" s="374">
        <v>0</v>
      </c>
      <c r="T16" s="375">
        <v>0</v>
      </c>
      <c r="U16" s="376">
        <v>0</v>
      </c>
      <c r="V16" s="373">
        <v>0</v>
      </c>
      <c r="W16" s="376">
        <v>0</v>
      </c>
      <c r="X16" s="373">
        <v>0</v>
      </c>
      <c r="Y16" s="373">
        <v>0</v>
      </c>
      <c r="Z16" s="373">
        <v>0</v>
      </c>
      <c r="AA16" s="395">
        <f>Tableau8[[#This Row],[Fixe]]/Tableau8[[#This Row],[Rémunération 
totale]]</f>
        <v>0.98165281480319899</v>
      </c>
      <c r="AB16" s="395">
        <f>(Tableau8[[#This Row],[Variable]]+Tableau8[[#This Row],[Bonus]])/Tableau8[[#This Row],[Rémunération 
totale]]</f>
        <v>0</v>
      </c>
      <c r="AC16" s="395">
        <f>Tableau8[[#This Row],[Actions de performance]]/Tableau8[[#This Row],[Rémunération 
totale]]</f>
        <v>0</v>
      </c>
      <c r="AD16" s="395">
        <f>(Tableau8[[#This Row],[Nature + Autres]]+Tableau8[[#This Row],[Retraite ]])/Tableau8[[#This Row],[Rémunération 
totale]]</f>
        <v>1.8347185196801005E-2</v>
      </c>
      <c r="AE16" s="231"/>
    </row>
    <row r="17" spans="1:31" x14ac:dyDescent="0.3">
      <c r="A17" s="378" t="s">
        <v>46</v>
      </c>
      <c r="B17" s="378" t="s">
        <v>60</v>
      </c>
      <c r="C17" s="378">
        <v>2022</v>
      </c>
      <c r="D17" s="379" t="s">
        <v>131</v>
      </c>
      <c r="E17" s="378" t="s">
        <v>133</v>
      </c>
      <c r="F17" s="378" t="s">
        <v>130</v>
      </c>
      <c r="G17" s="369" t="s">
        <v>64</v>
      </c>
      <c r="H17" s="321">
        <v>5002692</v>
      </c>
      <c r="I17" s="322">
        <v>2301950</v>
      </c>
      <c r="J17" s="322">
        <v>2700742</v>
      </c>
      <c r="K17" s="323"/>
      <c r="L17" s="323"/>
      <c r="M17" s="322"/>
      <c r="N17" s="322"/>
      <c r="O17" s="372">
        <v>1</v>
      </c>
      <c r="P17" s="372">
        <v>0</v>
      </c>
      <c r="Q17" s="372">
        <v>0.90000000000000013</v>
      </c>
      <c r="R17" s="373">
        <v>0.48587196653321857</v>
      </c>
      <c r="S17" s="374">
        <v>0</v>
      </c>
      <c r="T17" s="375">
        <v>0</v>
      </c>
      <c r="U17" s="376">
        <f t="shared" ref="U17:U41" si="3">((V17*H17)/(J17+K17+L17))*100</f>
        <v>10</v>
      </c>
      <c r="V17" s="373">
        <v>5.3985774059246504E-2</v>
      </c>
      <c r="W17" s="376">
        <f t="shared" ref="W17:W41" si="4">((X17*H17)/(J17+K17+L17))*100</f>
        <v>0</v>
      </c>
      <c r="X17" s="373">
        <v>0</v>
      </c>
      <c r="Y17" s="373">
        <v>0.1</v>
      </c>
      <c r="Z17" s="373">
        <v>5.3985774059246504E-2</v>
      </c>
      <c r="AA17" s="395">
        <f>Tableau8[[#This Row],[Fixe]]/Tableau8[[#This Row],[Rémunération 
totale]]</f>
        <v>0.460142259407535</v>
      </c>
      <c r="AB17" s="395">
        <f>(Tableau8[[#This Row],[Variable]]+Tableau8[[#This Row],[Bonus]])/Tableau8[[#This Row],[Rémunération 
totale]]</f>
        <v>0.53985774059246505</v>
      </c>
      <c r="AC17" s="395">
        <f>Tableau8[[#This Row],[Actions de performance]]/Tableau8[[#This Row],[Rémunération 
totale]]</f>
        <v>0</v>
      </c>
      <c r="AD17" s="395">
        <f>(Tableau8[[#This Row],[Nature + Autres]]+Tableau8[[#This Row],[Retraite ]])/Tableau8[[#This Row],[Rémunération 
totale]]</f>
        <v>0</v>
      </c>
      <c r="AE17" s="231"/>
    </row>
    <row r="18" spans="1:31" x14ac:dyDescent="0.3">
      <c r="A18" s="378" t="s">
        <v>8</v>
      </c>
      <c r="B18" s="378" t="s">
        <v>60</v>
      </c>
      <c r="C18" s="378">
        <v>2022</v>
      </c>
      <c r="D18" s="379" t="s">
        <v>9</v>
      </c>
      <c r="E18" s="378" t="s">
        <v>118</v>
      </c>
      <c r="F18" s="378" t="s">
        <v>119</v>
      </c>
      <c r="G18" s="369" t="s">
        <v>64</v>
      </c>
      <c r="H18" s="321">
        <v>6572616</v>
      </c>
      <c r="I18" s="322">
        <v>1200000</v>
      </c>
      <c r="J18" s="322">
        <v>943200</v>
      </c>
      <c r="K18" s="323"/>
      <c r="L18" s="322">
        <v>4282717</v>
      </c>
      <c r="M18" s="322">
        <v>146699</v>
      </c>
      <c r="N18" s="322"/>
      <c r="O18" s="372">
        <v>1</v>
      </c>
      <c r="P18" s="372">
        <v>0</v>
      </c>
      <c r="Q18" s="372">
        <v>0.78195149291502331</v>
      </c>
      <c r="R18" s="373">
        <v>0.62173320333943138</v>
      </c>
      <c r="S18" s="374">
        <v>0</v>
      </c>
      <c r="T18" s="375">
        <v>0</v>
      </c>
      <c r="U18" s="376">
        <f t="shared" si="3"/>
        <v>21.804850708497668</v>
      </c>
      <c r="V18" s="373">
        <v>0.1733713638526882</v>
      </c>
      <c r="W18" s="376">
        <f t="shared" si="4"/>
        <v>18.195149291502332</v>
      </c>
      <c r="X18" s="373">
        <v>0.14467046302415965</v>
      </c>
      <c r="Y18" s="373">
        <v>1.8048507084976666E-2</v>
      </c>
      <c r="Z18" s="373">
        <v>1.4350450414264275E-2</v>
      </c>
      <c r="AA18" s="395">
        <f>Tableau8[[#This Row],[Fixe]]/Tableau8[[#This Row],[Rémunération 
totale]]</f>
        <v>0.18257570501608492</v>
      </c>
      <c r="AB18" s="395">
        <f>(Tableau8[[#This Row],[Variable]]+Tableau8[[#This Row],[Bonus]])/Tableau8[[#This Row],[Rémunération 
totale]]</f>
        <v>0.14350450414264274</v>
      </c>
      <c r="AC18" s="395">
        <f>Tableau8[[#This Row],[Actions de performance]]/Tableau8[[#This Row],[Rémunération 
totale]]</f>
        <v>0.65160006304947682</v>
      </c>
      <c r="AD18" s="395">
        <f>(Tableau8[[#This Row],[Nature + Autres]]+Tableau8[[#This Row],[Retraite ]])/Tableau8[[#This Row],[Rémunération 
totale]]</f>
        <v>2.2319727791795536E-2</v>
      </c>
      <c r="AE18" s="231"/>
    </row>
    <row r="19" spans="1:31" x14ac:dyDescent="0.3">
      <c r="A19" s="378" t="s">
        <v>54</v>
      </c>
      <c r="B19" s="378" t="s">
        <v>60</v>
      </c>
      <c r="C19" s="378">
        <v>2022</v>
      </c>
      <c r="D19" s="379" t="s">
        <v>158</v>
      </c>
      <c r="E19" s="378" t="s">
        <v>159</v>
      </c>
      <c r="F19" s="378" t="s">
        <v>160</v>
      </c>
      <c r="G19" s="369" t="s">
        <v>64</v>
      </c>
      <c r="H19" s="321">
        <v>3493114</v>
      </c>
      <c r="I19" s="322">
        <v>900000</v>
      </c>
      <c r="J19" s="322">
        <v>1235700</v>
      </c>
      <c r="K19" s="323"/>
      <c r="L19" s="323">
        <v>1353167</v>
      </c>
      <c r="M19" s="322">
        <v>4247</v>
      </c>
      <c r="N19" s="322"/>
      <c r="O19" s="372">
        <v>0.4417874293502721</v>
      </c>
      <c r="P19" s="372">
        <v>0.55821257064972785</v>
      </c>
      <c r="Q19" s="372">
        <v>0.7022686951473367</v>
      </c>
      <c r="R19" s="373">
        <v>0.52047549836621421</v>
      </c>
      <c r="S19" s="374">
        <f>((T19*H19)/(J19+K19+L19))*100</f>
        <v>13.067173786834163</v>
      </c>
      <c r="T19" s="375">
        <v>9.6845321967734238E-2</v>
      </c>
      <c r="U19" s="376">
        <f t="shared" si="3"/>
        <v>29.773130485266336</v>
      </c>
      <c r="V19" s="373">
        <v>0.22065891637089427</v>
      </c>
      <c r="W19" s="376">
        <f t="shared" si="4"/>
        <v>4.7731304852663348</v>
      </c>
      <c r="X19" s="373">
        <v>3.5375312686617158E-2</v>
      </c>
      <c r="Y19" s="373">
        <v>2.3865652426331672E-2</v>
      </c>
      <c r="Z19" s="373">
        <v>1.7687656343308579E-2</v>
      </c>
      <c r="AA19" s="395">
        <f>Tableau8[[#This Row],[Fixe]]/Tableau8[[#This Row],[Rémunération 
totale]]</f>
        <v>0.25764976465125389</v>
      </c>
      <c r="AB19" s="395">
        <f>(Tableau8[[#This Row],[Variable]]+Tableau8[[#This Row],[Bonus]])/Tableau8[[#This Row],[Rémunération 
totale]]</f>
        <v>0.35375312686617155</v>
      </c>
      <c r="AC19" s="395">
        <f>Tableau8[[#This Row],[Actions de performance]]/Tableau8[[#This Row],[Rémunération 
totale]]</f>
        <v>0.38738128787093695</v>
      </c>
      <c r="AD19" s="395">
        <f>(Tableau8[[#This Row],[Nature + Autres]]+Tableau8[[#This Row],[Retraite ]])/Tableau8[[#This Row],[Rémunération 
totale]]</f>
        <v>1.215820611637639E-3</v>
      </c>
      <c r="AE19" s="231"/>
    </row>
    <row r="20" spans="1:31" x14ac:dyDescent="0.3">
      <c r="A20" s="378" t="s">
        <v>17</v>
      </c>
      <c r="B20" s="378" t="s">
        <v>60</v>
      </c>
      <c r="C20" s="378">
        <v>2022</v>
      </c>
      <c r="D20" s="379" t="s">
        <v>70</v>
      </c>
      <c r="E20" s="378" t="s">
        <v>65</v>
      </c>
      <c r="F20" s="378" t="s">
        <v>66</v>
      </c>
      <c r="G20" s="369" t="s">
        <v>64</v>
      </c>
      <c r="H20" s="321">
        <v>10337194.02</v>
      </c>
      <c r="I20" s="322">
        <v>2000000</v>
      </c>
      <c r="J20" s="322">
        <v>2260000</v>
      </c>
      <c r="K20" s="323"/>
      <c r="L20" s="322">
        <v>6066600</v>
      </c>
      <c r="M20" s="322">
        <v>4217.9399999999996</v>
      </c>
      <c r="N20" s="322">
        <v>6376.08</v>
      </c>
      <c r="O20" s="372">
        <v>0.21838280766852194</v>
      </c>
      <c r="P20" s="372">
        <v>0.78161719233147808</v>
      </c>
      <c r="Q20" s="372">
        <v>0.74571613864002118</v>
      </c>
      <c r="R20" s="373">
        <v>0.60067364392953515</v>
      </c>
      <c r="S20" s="374">
        <f>((T20*H20)/(J20+K20+L20))*100</f>
        <v>2.7141930679989432</v>
      </c>
      <c r="T20" s="375">
        <v>2.1862799475635655E-2</v>
      </c>
      <c r="U20" s="376">
        <f t="shared" si="3"/>
        <v>25.428386135997886</v>
      </c>
      <c r="V20" s="373">
        <v>0.20482540967147292</v>
      </c>
      <c r="W20" s="376">
        <f t="shared" si="4"/>
        <v>19.321451733000263</v>
      </c>
      <c r="X20" s="373">
        <v>0.1556341108512927</v>
      </c>
      <c r="Y20" s="373">
        <v>0.13642903466000528</v>
      </c>
      <c r="Z20" s="373">
        <v>0.10989345830233339</v>
      </c>
      <c r="AA20" s="395">
        <f>Tableau8[[#This Row],[Fixe]]/Tableau8[[#This Row],[Rémunération 
totale]]</f>
        <v>0.19347610155429781</v>
      </c>
      <c r="AB20" s="395">
        <f>(Tableau8[[#This Row],[Variable]]+Tableau8[[#This Row],[Bonus]])/Tableau8[[#This Row],[Rémunération 
totale]]</f>
        <v>0.21862799475635653</v>
      </c>
      <c r="AC20" s="395">
        <f>Tableau8[[#This Row],[Actions de performance]]/Tableau8[[#This Row],[Rémunération 
totale]]</f>
        <v>0.58687105884465152</v>
      </c>
      <c r="AD20" s="395">
        <f>(Tableau8[[#This Row],[Nature + Autres]]+Tableau8[[#This Row],[Retraite ]])/Tableau8[[#This Row],[Rémunération 
totale]]</f>
        <v>1.0248448446941311E-3</v>
      </c>
      <c r="AE20" s="231"/>
    </row>
    <row r="21" spans="1:31" x14ac:dyDescent="0.3">
      <c r="A21" s="378" t="s">
        <v>18</v>
      </c>
      <c r="B21" s="378" t="s">
        <v>60</v>
      </c>
      <c r="C21" s="378">
        <v>2022</v>
      </c>
      <c r="D21" s="379" t="s">
        <v>76</v>
      </c>
      <c r="E21" s="378" t="s">
        <v>74</v>
      </c>
      <c r="F21" s="378" t="s">
        <v>75</v>
      </c>
      <c r="G21" s="369" t="s">
        <v>64</v>
      </c>
      <c r="H21" s="321">
        <v>7940745</v>
      </c>
      <c r="I21" s="322">
        <v>1138307</v>
      </c>
      <c r="J21" s="322">
        <v>2200000</v>
      </c>
      <c r="K21" s="323"/>
      <c r="L21" s="322">
        <v>4483107</v>
      </c>
      <c r="M21" s="322">
        <v>119331</v>
      </c>
      <c r="N21" s="322"/>
      <c r="O21" s="372">
        <v>0.25727779684134788</v>
      </c>
      <c r="P21" s="372">
        <v>0.74272220315865212</v>
      </c>
      <c r="Q21" s="372">
        <v>0.76770294864349775</v>
      </c>
      <c r="R21" s="373">
        <v>0.64611581784832539</v>
      </c>
      <c r="S21" s="374">
        <v>0</v>
      </c>
      <c r="T21" s="375">
        <v>0</v>
      </c>
      <c r="U21" s="376">
        <f t="shared" si="3"/>
        <v>23.229705135650228</v>
      </c>
      <c r="V21" s="373">
        <v>0.19550634732635286</v>
      </c>
      <c r="W21" s="376">
        <f t="shared" si="4"/>
        <v>3.2918820542600917</v>
      </c>
      <c r="X21" s="373">
        <v>2.7705209020060462E-2</v>
      </c>
      <c r="Y21" s="373">
        <v>3.2918820542600917E-2</v>
      </c>
      <c r="Z21" s="373">
        <v>2.7705209020060462E-2</v>
      </c>
      <c r="AA21" s="395">
        <f>Tableau8[[#This Row],[Fixe]]/Tableau8[[#This Row],[Rémunération 
totale]]</f>
        <v>0.14335015165453618</v>
      </c>
      <c r="AB21" s="395">
        <f>(Tableau8[[#This Row],[Variable]]+Tableau8[[#This Row],[Bonus]])/Tableau8[[#This Row],[Rémunération 
totale]]</f>
        <v>0.27705209020060462</v>
      </c>
      <c r="AC21" s="395">
        <f>Tableau8[[#This Row],[Actions de performance]]/Tableau8[[#This Row],[Rémunération 
totale]]</f>
        <v>0.56457007497407363</v>
      </c>
      <c r="AD21" s="395">
        <f>(Tableau8[[#This Row],[Nature + Autres]]+Tableau8[[#This Row],[Retraite ]])/Tableau8[[#This Row],[Rémunération 
totale]]</f>
        <v>1.5027683170785613E-2</v>
      </c>
      <c r="AE21" s="231"/>
    </row>
    <row r="22" spans="1:31" x14ac:dyDescent="0.3">
      <c r="A22" s="378" t="s">
        <v>47</v>
      </c>
      <c r="B22" s="378" t="s">
        <v>60</v>
      </c>
      <c r="C22" s="378">
        <v>2022</v>
      </c>
      <c r="D22" s="379" t="s">
        <v>132</v>
      </c>
      <c r="E22" s="378" t="s">
        <v>134</v>
      </c>
      <c r="F22" s="378" t="s">
        <v>135</v>
      </c>
      <c r="G22" s="369" t="s">
        <v>64</v>
      </c>
      <c r="H22" s="321">
        <v>2798982.5900000003</v>
      </c>
      <c r="I22" s="322">
        <v>1016670</v>
      </c>
      <c r="J22" s="322">
        <v>905744.43</v>
      </c>
      <c r="K22" s="323"/>
      <c r="L22" s="323">
        <v>866812.76</v>
      </c>
      <c r="M22" s="322">
        <v>9755.4</v>
      </c>
      <c r="N22" s="322"/>
      <c r="O22" s="372">
        <v>1</v>
      </c>
      <c r="P22" s="372">
        <v>0</v>
      </c>
      <c r="Q22" s="372">
        <v>0.65109817810730275</v>
      </c>
      <c r="R22" s="373">
        <v>0.41233152400565659</v>
      </c>
      <c r="S22" s="374">
        <f t="shared" ref="S22:S32" si="5">((T22*H22)/(J22+K22+L22))*100</f>
        <v>24.89018218926973</v>
      </c>
      <c r="T22" s="375">
        <v>0.15762610156142484</v>
      </c>
      <c r="U22" s="376">
        <f t="shared" si="3"/>
        <v>34.890182189269737</v>
      </c>
      <c r="V22" s="373">
        <v>0.22095472662443391</v>
      </c>
      <c r="W22" s="376">
        <f t="shared" si="4"/>
        <v>34.890182189269737</v>
      </c>
      <c r="X22" s="373">
        <v>0.22095472662443391</v>
      </c>
      <c r="Y22" s="373">
        <v>2.5549089053651358E-2</v>
      </c>
      <c r="Z22" s="373">
        <v>1.6179886813801152E-2</v>
      </c>
      <c r="AA22" s="395">
        <f>Tableau8[[#This Row],[Fixe]]/Tableau8[[#This Row],[Rémunération 
totale]]</f>
        <v>0.36322841150648238</v>
      </c>
      <c r="AB22" s="395">
        <f>(Tableau8[[#This Row],[Variable]]+Tableau8[[#This Row],[Bonus]])/Tableau8[[#This Row],[Rémunération 
totale]]</f>
        <v>0.32359773627602306</v>
      </c>
      <c r="AC22" s="395">
        <f>Tableau8[[#This Row],[Actions de performance]]/Tableau8[[#This Row],[Rémunération 
totale]]</f>
        <v>0.30968851435406747</v>
      </c>
      <c r="AD22" s="395">
        <f>(Tableau8[[#This Row],[Nature + Autres]]+Tableau8[[#This Row],[Retraite ]])/Tableau8[[#This Row],[Rémunération 
totale]]</f>
        <v>3.4853378634270098E-3</v>
      </c>
      <c r="AE22" s="231"/>
    </row>
    <row r="23" spans="1:31" hidden="1" x14ac:dyDescent="0.3">
      <c r="A23" s="378" t="s">
        <v>43</v>
      </c>
      <c r="B23" s="378" t="s">
        <v>60</v>
      </c>
      <c r="C23" s="378">
        <v>2022</v>
      </c>
      <c r="D23" s="379" t="s">
        <v>105</v>
      </c>
      <c r="E23" s="378" t="s">
        <v>106</v>
      </c>
      <c r="F23" s="378" t="s">
        <v>107</v>
      </c>
      <c r="G23" s="369" t="s">
        <v>103</v>
      </c>
      <c r="H23" s="321">
        <v>1977255</v>
      </c>
      <c r="I23" s="322">
        <v>667500</v>
      </c>
      <c r="J23" s="322">
        <v>616970</v>
      </c>
      <c r="K23" s="323">
        <v>66750</v>
      </c>
      <c r="L23" s="323">
        <v>527100</v>
      </c>
      <c r="M23" s="322">
        <v>98935</v>
      </c>
      <c r="N23" s="322"/>
      <c r="O23" s="372">
        <v>0.42248669821204798</v>
      </c>
      <c r="P23" s="372">
        <v>0.57751330178795202</v>
      </c>
      <c r="Q23" s="372">
        <v>0.60303348144232838</v>
      </c>
      <c r="R23" s="372">
        <v>0.36928216138029746</v>
      </c>
      <c r="S23" s="374">
        <f t="shared" si="5"/>
        <v>17.412992847822135</v>
      </c>
      <c r="T23" s="375">
        <v>0.10663268015506346</v>
      </c>
      <c r="U23" s="376">
        <f t="shared" si="3"/>
        <v>34.183858872499627</v>
      </c>
      <c r="V23" s="373">
        <v>0.20933314114770224</v>
      </c>
      <c r="W23" s="376">
        <f t="shared" si="4"/>
        <v>34.183858872499627</v>
      </c>
      <c r="X23" s="373">
        <v>0.20933314114770224</v>
      </c>
      <c r="Y23" s="373">
        <v>8.7064964239110684E-2</v>
      </c>
      <c r="Z23" s="373">
        <v>5.3316340077531728E-2</v>
      </c>
      <c r="AA23" s="395">
        <f>Tableau8[[#This Row],[Fixe]]/Tableau8[[#This Row],[Rémunération 
totale]]</f>
        <v>0.33758923355864567</v>
      </c>
      <c r="AB23" s="395">
        <f>(Tableau8[[#This Row],[Variable]]+Tableau8[[#This Row],[Bonus]])/Tableau8[[#This Row],[Rémunération 
totale]]</f>
        <v>0.34579252549620559</v>
      </c>
      <c r="AC23" s="395">
        <f>Tableau8[[#This Row],[Actions de performance]]/Tableau8[[#This Row],[Rémunération 
totale]]</f>
        <v>0.26658170038765866</v>
      </c>
      <c r="AD23" s="395">
        <f>(Tableau8[[#This Row],[Nature + Autres]]+Tableau8[[#This Row],[Retraite ]])/Tableau8[[#This Row],[Rémunération 
totale]]</f>
        <v>5.0036540557490058E-2</v>
      </c>
      <c r="AE23" s="231"/>
    </row>
    <row r="24" spans="1:31" x14ac:dyDescent="0.3">
      <c r="A24" s="378" t="s">
        <v>29</v>
      </c>
      <c r="B24" s="378" t="s">
        <v>60</v>
      </c>
      <c r="C24" s="378">
        <v>2022</v>
      </c>
      <c r="D24" s="379" t="s">
        <v>31</v>
      </c>
      <c r="E24" s="378" t="s">
        <v>112</v>
      </c>
      <c r="F24" s="378" t="s">
        <v>120</v>
      </c>
      <c r="G24" s="369" t="s">
        <v>64</v>
      </c>
      <c r="H24" s="321">
        <v>5721834</v>
      </c>
      <c r="I24" s="383">
        <v>1250000</v>
      </c>
      <c r="J24" s="384">
        <v>1890625</v>
      </c>
      <c r="K24" s="384"/>
      <c r="L24" s="384">
        <v>1874741</v>
      </c>
      <c r="M24" s="384">
        <v>6552</v>
      </c>
      <c r="N24" s="384">
        <v>699916</v>
      </c>
      <c r="O24" s="372">
        <v>0.52123148102954431</v>
      </c>
      <c r="P24" s="372">
        <v>0.47876851897045569</v>
      </c>
      <c r="Q24" s="372">
        <v>0.83195240515795799</v>
      </c>
      <c r="R24" s="373">
        <v>0.54748273018755866</v>
      </c>
      <c r="S24" s="374">
        <f t="shared" si="5"/>
        <v>24.065981899236355</v>
      </c>
      <c r="T24" s="375">
        <v>0.15837095239043983</v>
      </c>
      <c r="U24" s="376">
        <f t="shared" si="3"/>
        <v>16.804759484204194</v>
      </c>
      <c r="V24" s="373">
        <v>0.11058704254614868</v>
      </c>
      <c r="W24" s="376">
        <f t="shared" si="4"/>
        <v>12.468361641338452</v>
      </c>
      <c r="X24" s="373">
        <v>8.2050519116772705E-2</v>
      </c>
      <c r="Y24" s="373">
        <v>2.4894538804461505E-2</v>
      </c>
      <c r="Z24" s="373">
        <v>1.6382343493362442E-2</v>
      </c>
      <c r="AA24" s="395">
        <f>Tableau8[[#This Row],[Fixe]]/Tableau8[[#This Row],[Rémunération 
totale]]</f>
        <v>0.21846142338278252</v>
      </c>
      <c r="AB24" s="395">
        <f>(Tableau8[[#This Row],[Variable]]+Tableau8[[#This Row],[Bonus]])/Tableau8[[#This Row],[Rémunération 
totale]]</f>
        <v>0.33042290286645853</v>
      </c>
      <c r="AC24" s="395">
        <f>Tableau8[[#This Row],[Actions de performance]]/Tableau8[[#This Row],[Rémunération 
totale]]</f>
        <v>0.32764686986724884</v>
      </c>
      <c r="AD24" s="395">
        <f>(Tableau8[[#This Row],[Nature + Autres]]+Tableau8[[#This Row],[Retraite ]])/Tableau8[[#This Row],[Rémunération 
totale]]</f>
        <v>0.12346880388351007</v>
      </c>
      <c r="AE24" s="231"/>
    </row>
    <row r="25" spans="1:31" x14ac:dyDescent="0.3">
      <c r="A25" s="378" t="s">
        <v>52</v>
      </c>
      <c r="B25" s="378" t="s">
        <v>60</v>
      </c>
      <c r="C25" s="378">
        <v>2022</v>
      </c>
      <c r="D25" s="379" t="s">
        <v>146</v>
      </c>
      <c r="E25" s="378" t="s">
        <v>147</v>
      </c>
      <c r="F25" s="378" t="s">
        <v>148</v>
      </c>
      <c r="G25" s="369" t="s">
        <v>64</v>
      </c>
      <c r="H25" s="321">
        <v>6666587</v>
      </c>
      <c r="I25" s="322">
        <v>1170000</v>
      </c>
      <c r="J25" s="322">
        <v>2503800</v>
      </c>
      <c r="K25" s="323"/>
      <c r="L25" s="323">
        <v>2988082</v>
      </c>
      <c r="M25" s="322">
        <v>4705</v>
      </c>
      <c r="N25" s="322"/>
      <c r="O25" s="372">
        <v>0.45590928574211909</v>
      </c>
      <c r="P25" s="372">
        <v>0.54409071425788091</v>
      </c>
      <c r="Q25" s="372">
        <v>0.84999999999999987</v>
      </c>
      <c r="R25" s="373">
        <v>0.70022332266870579</v>
      </c>
      <c r="S25" s="374">
        <f t="shared" si="5"/>
        <v>8.1613607138682163</v>
      </c>
      <c r="T25" s="375">
        <v>6.7232648430148742E-2</v>
      </c>
      <c r="U25" s="376">
        <f t="shared" si="3"/>
        <v>15.000000000000002</v>
      </c>
      <c r="V25" s="373">
        <v>0.1235688216474187</v>
      </c>
      <c r="W25" s="376">
        <f t="shared" si="4"/>
        <v>15.000000000000002</v>
      </c>
      <c r="X25" s="373">
        <v>0.1235688216474187</v>
      </c>
      <c r="Y25" s="373">
        <v>6.1397732143552972E-2</v>
      </c>
      <c r="Z25" s="373">
        <v>5.0578969418684547E-2</v>
      </c>
      <c r="AA25" s="395">
        <f>Tableau8[[#This Row],[Fixe]]/Tableau8[[#This Row],[Rémunération 
totale]]</f>
        <v>0.17550209725006213</v>
      </c>
      <c r="AB25" s="395">
        <f>(Tableau8[[#This Row],[Variable]]+Tableau8[[#This Row],[Bonus]])/Tableau8[[#This Row],[Rémunération 
totale]]</f>
        <v>0.375574488115133</v>
      </c>
      <c r="AC25" s="395">
        <f>Tableau8[[#This Row],[Actions de performance]]/Tableau8[[#This Row],[Rémunération 
totale]]</f>
        <v>0.44821765620099158</v>
      </c>
      <c r="AD25" s="395">
        <f>(Tableau8[[#This Row],[Nature + Autres]]+Tableau8[[#This Row],[Retraite ]])/Tableau8[[#This Row],[Rémunération 
totale]]</f>
        <v>7.0575843381328403E-4</v>
      </c>
      <c r="AE25" s="231"/>
    </row>
    <row r="26" spans="1:31" x14ac:dyDescent="0.3">
      <c r="A26" s="378" t="s">
        <v>19</v>
      </c>
      <c r="B26" s="378" t="s">
        <v>60</v>
      </c>
      <c r="C26" s="378">
        <v>2022</v>
      </c>
      <c r="D26" s="379" t="s">
        <v>77</v>
      </c>
      <c r="E26" s="378" t="s">
        <v>78</v>
      </c>
      <c r="F26" s="378" t="s">
        <v>79</v>
      </c>
      <c r="G26" s="369" t="s">
        <v>64</v>
      </c>
      <c r="H26" s="321">
        <v>4516703</v>
      </c>
      <c r="I26" s="322">
        <v>1300000</v>
      </c>
      <c r="J26" s="322">
        <v>1950000</v>
      </c>
      <c r="K26" s="323">
        <v>191854</v>
      </c>
      <c r="L26" s="322">
        <v>1061718</v>
      </c>
      <c r="M26" s="322">
        <v>13131</v>
      </c>
      <c r="N26" s="322"/>
      <c r="O26" s="372">
        <v>0.5360412938112582</v>
      </c>
      <c r="P26" s="372">
        <v>0.4639587061887418</v>
      </c>
      <c r="Q26" s="372">
        <v>0.61319080701167317</v>
      </c>
      <c r="R26" s="373">
        <v>0.43491920987499066</v>
      </c>
      <c r="S26" s="374">
        <f t="shared" si="5"/>
        <v>18.89831413185032</v>
      </c>
      <c r="T26" s="375">
        <v>0.13404049369639756</v>
      </c>
      <c r="U26" s="376">
        <f t="shared" si="3"/>
        <v>25.289617339644625</v>
      </c>
      <c r="V26" s="373">
        <v>0.17937223235621205</v>
      </c>
      <c r="W26" s="376">
        <f t="shared" si="4"/>
        <v>24.091866828652517</v>
      </c>
      <c r="X26" s="373">
        <v>0.17087692062108137</v>
      </c>
      <c r="Y26" s="373">
        <v>9.4831737822655457E-2</v>
      </c>
      <c r="Z26" s="373">
        <v>6.7261517970076845E-2</v>
      </c>
      <c r="AA26" s="395">
        <f>Tableau8[[#This Row],[Fixe]]/Tableau8[[#This Row],[Rémunération 
totale]]</f>
        <v>0.28782056291945696</v>
      </c>
      <c r="AB26" s="395">
        <f>(Tableau8[[#This Row],[Variable]]+Tableau8[[#This Row],[Bonus]])/Tableau8[[#This Row],[Rémunération 
totale]]</f>
        <v>0.47420740305483888</v>
      </c>
      <c r="AC26" s="395">
        <f>Tableau8[[#This Row],[Actions de performance]]/Tableau8[[#This Row],[Rémunération 
totale]]</f>
        <v>0.23506482493978462</v>
      </c>
      <c r="AD26" s="395">
        <f>(Tableau8[[#This Row],[Nature + Autres]]+Tableau8[[#This Row],[Retraite ]])/Tableau8[[#This Row],[Rémunération 
totale]]</f>
        <v>2.9072090859195302E-3</v>
      </c>
      <c r="AE26" s="231"/>
    </row>
    <row r="27" spans="1:31" x14ac:dyDescent="0.3">
      <c r="A27" s="378" t="s">
        <v>51</v>
      </c>
      <c r="B27" s="378" t="s">
        <v>60</v>
      </c>
      <c r="C27" s="378">
        <v>2022</v>
      </c>
      <c r="D27" s="379" t="s">
        <v>144</v>
      </c>
      <c r="E27" s="378" t="s">
        <v>137</v>
      </c>
      <c r="F27" s="378" t="s">
        <v>145</v>
      </c>
      <c r="G27" s="369" t="s">
        <v>64</v>
      </c>
      <c r="H27" s="321">
        <v>2992083.69</v>
      </c>
      <c r="I27" s="322">
        <v>800000</v>
      </c>
      <c r="J27" s="322">
        <v>1072671</v>
      </c>
      <c r="K27" s="323"/>
      <c r="L27" s="323">
        <v>959947.98</v>
      </c>
      <c r="M27" s="322">
        <v>24091.15</v>
      </c>
      <c r="N27" s="322">
        <v>135373.56</v>
      </c>
      <c r="O27" s="372">
        <v>0.48342956250421071</v>
      </c>
      <c r="P27" s="372">
        <v>0.51657043749578935</v>
      </c>
      <c r="Q27" s="372">
        <v>0.73139529278625548</v>
      </c>
      <c r="R27" s="372">
        <v>0.49686041836617206</v>
      </c>
      <c r="S27" s="374">
        <f t="shared" si="5"/>
        <v>4.7227148297119621</v>
      </c>
      <c r="T27" s="375">
        <v>3.2082925461219304E-2</v>
      </c>
      <c r="U27" s="376">
        <f t="shared" si="3"/>
        <v>26.860470721374451</v>
      </c>
      <c r="V27" s="373">
        <v>0.18247184322574883</v>
      </c>
      <c r="W27" s="376">
        <f t="shared" si="4"/>
        <v>15.540694031106606</v>
      </c>
      <c r="X27" s="373">
        <v>0.10557294822859717</v>
      </c>
      <c r="Y27" s="373">
        <v>6.2465309226326322E-2</v>
      </c>
      <c r="Z27" s="373">
        <v>4.2434699787758948E-2</v>
      </c>
      <c r="AA27" s="395">
        <f>Tableau8[[#This Row],[Fixe]]/Tableau8[[#This Row],[Rémunération 
totale]]</f>
        <v>0.26737220040793713</v>
      </c>
      <c r="AB27" s="395">
        <f>(Tableau8[[#This Row],[Variable]]+Tableau8[[#This Row],[Bonus]])/Tableau8[[#This Row],[Rémunération 
totale]]</f>
        <v>0.35850300697972792</v>
      </c>
      <c r="AC27" s="395">
        <f>Tableau8[[#This Row],[Actions de performance]]/Tableau8[[#This Row],[Rémunération 
totale]]</f>
        <v>0.32082925461219303</v>
      </c>
      <c r="AD27" s="395">
        <f>(Tableau8[[#This Row],[Nature + Autres]]+Tableau8[[#This Row],[Retraite ]])/Tableau8[[#This Row],[Rémunération 
totale]]</f>
        <v>5.3295538000141966E-2</v>
      </c>
      <c r="AE27" s="231"/>
    </row>
    <row r="28" spans="1:31" x14ac:dyDescent="0.3">
      <c r="A28" s="378" t="s">
        <v>16</v>
      </c>
      <c r="B28" s="378" t="s">
        <v>60</v>
      </c>
      <c r="C28" s="378">
        <v>2022</v>
      </c>
      <c r="D28" s="379" t="s">
        <v>73</v>
      </c>
      <c r="E28" s="378" t="s">
        <v>71</v>
      </c>
      <c r="F28" s="378" t="s">
        <v>72</v>
      </c>
      <c r="G28" s="369" t="s">
        <v>64</v>
      </c>
      <c r="H28" s="322">
        <v>4622082</v>
      </c>
      <c r="I28" s="322">
        <v>1000000</v>
      </c>
      <c r="J28" s="322">
        <v>1700000</v>
      </c>
      <c r="K28" s="322"/>
      <c r="L28" s="322">
        <v>1919924</v>
      </c>
      <c r="M28" s="322">
        <v>2158</v>
      </c>
      <c r="N28" s="322"/>
      <c r="O28" s="372">
        <v>0.42434067907701356</v>
      </c>
      <c r="P28" s="372">
        <v>0.57565932092298644</v>
      </c>
      <c r="Q28" s="372">
        <v>0.73707050203263946</v>
      </c>
      <c r="R28" s="373">
        <v>0.5772591658910422</v>
      </c>
      <c r="S28" s="374">
        <f t="shared" si="5"/>
        <v>58.06860033525566</v>
      </c>
      <c r="T28" s="375">
        <v>0.45478189266222457</v>
      </c>
      <c r="U28" s="376">
        <f t="shared" si="3"/>
        <v>26.24598748482012</v>
      </c>
      <c r="V28" s="373">
        <v>0.20555342808716937</v>
      </c>
      <c r="W28" s="376">
        <f t="shared" si="4"/>
        <v>0</v>
      </c>
      <c r="X28" s="373">
        <v>0</v>
      </c>
      <c r="Y28" s="373">
        <v>4.5784091968044997E-2</v>
      </c>
      <c r="Z28" s="373">
        <v>3.5857203168038414E-2</v>
      </c>
      <c r="AA28" s="395">
        <f>Tableau8[[#This Row],[Fixe]]/Tableau8[[#This Row],[Rémunération 
totale]]</f>
        <v>0.2163527172386816</v>
      </c>
      <c r="AB28" s="395">
        <f>(Tableau8[[#This Row],[Variable]]+Tableau8[[#This Row],[Bonus]])/Tableau8[[#This Row],[Rémunération 
totale]]</f>
        <v>0.36779961930575877</v>
      </c>
      <c r="AC28" s="395">
        <f>Tableau8[[#This Row],[Actions de performance]]/Tableau8[[#This Row],[Rémunération 
totale]]</f>
        <v>0.41538077429175857</v>
      </c>
      <c r="AD28" s="395">
        <f>(Tableau8[[#This Row],[Nature + Autres]]+Tableau8[[#This Row],[Retraite ]])/Tableau8[[#This Row],[Rémunération 
totale]]</f>
        <v>4.6688916380107493E-4</v>
      </c>
      <c r="AE28" s="231"/>
    </row>
    <row r="29" spans="1:31" x14ac:dyDescent="0.3">
      <c r="A29" s="378" t="s">
        <v>36</v>
      </c>
      <c r="B29" s="378" t="s">
        <v>60</v>
      </c>
      <c r="C29" s="378">
        <v>2022</v>
      </c>
      <c r="D29" s="379" t="s">
        <v>85</v>
      </c>
      <c r="E29" s="378" t="s">
        <v>83</v>
      </c>
      <c r="F29" s="378" t="s">
        <v>84</v>
      </c>
      <c r="G29" s="369" t="s">
        <v>64</v>
      </c>
      <c r="H29" s="321">
        <v>10718747</v>
      </c>
      <c r="I29" s="322">
        <v>1400000</v>
      </c>
      <c r="J29" s="322">
        <v>2337300</v>
      </c>
      <c r="K29" s="323"/>
      <c r="L29" s="322">
        <v>6967950</v>
      </c>
      <c r="M29" s="322">
        <v>13497</v>
      </c>
      <c r="N29" s="322"/>
      <c r="O29" s="372">
        <v>0.11490303074994469</v>
      </c>
      <c r="P29" s="372">
        <v>0.88509696925005532</v>
      </c>
      <c r="Q29" s="372">
        <v>0.87440960747964858</v>
      </c>
      <c r="R29" s="373">
        <v>0.75909992091426359</v>
      </c>
      <c r="S29" s="374">
        <f t="shared" si="5"/>
        <v>57.440960747964851</v>
      </c>
      <c r="T29" s="375">
        <v>0.49866136405682493</v>
      </c>
      <c r="U29" s="376">
        <f t="shared" si="3"/>
        <v>12.559039252035141</v>
      </c>
      <c r="V29" s="373">
        <v>0.10902860194386527</v>
      </c>
      <c r="W29" s="376">
        <f t="shared" si="4"/>
        <v>12.559039252035141</v>
      </c>
      <c r="X29" s="373">
        <v>0.10902860194386527</v>
      </c>
      <c r="Y29" s="373">
        <v>0</v>
      </c>
      <c r="Z29" s="373">
        <v>0</v>
      </c>
      <c r="AA29" s="395">
        <f>Tableau8[[#This Row],[Fixe]]/Tableau8[[#This Row],[Rémunération 
totale]]</f>
        <v>0.13061228145416623</v>
      </c>
      <c r="AB29" s="395">
        <f>(Tableau8[[#This Row],[Variable]]+Tableau8[[#This Row],[Bonus]])/Tableau8[[#This Row],[Rémunération 
totale]]</f>
        <v>0.21805720388773053</v>
      </c>
      <c r="AC29" s="395">
        <f>Tableau8[[#This Row],[Actions de performance]]/Tableau8[[#This Row],[Rémunération 
totale]]</f>
        <v>0.65007131897039827</v>
      </c>
      <c r="AD29" s="395">
        <f>(Tableau8[[#This Row],[Nature + Autres]]+Tableau8[[#This Row],[Retraite ]])/Tableau8[[#This Row],[Rémunération 
totale]]</f>
        <v>1.2591956877049154E-3</v>
      </c>
      <c r="AE29" s="231"/>
    </row>
    <row r="30" spans="1:31" x14ac:dyDescent="0.3">
      <c r="A30" s="378" t="s">
        <v>20</v>
      </c>
      <c r="B30" s="378" t="s">
        <v>60</v>
      </c>
      <c r="C30" s="378">
        <v>2022</v>
      </c>
      <c r="D30" s="379" t="s">
        <v>80</v>
      </c>
      <c r="E30" s="378" t="s">
        <v>81</v>
      </c>
      <c r="F30" s="378" t="s">
        <v>82</v>
      </c>
      <c r="G30" s="369" t="s">
        <v>64</v>
      </c>
      <c r="H30" s="321">
        <v>6488038</v>
      </c>
      <c r="I30" s="322">
        <v>1000000</v>
      </c>
      <c r="J30" s="322">
        <v>1493700</v>
      </c>
      <c r="K30" s="323"/>
      <c r="L30" s="322">
        <v>3457692</v>
      </c>
      <c r="M30" s="322">
        <v>58853</v>
      </c>
      <c r="N30" s="322">
        <v>477793</v>
      </c>
      <c r="O30" s="372">
        <v>0.31544027565387417</v>
      </c>
      <c r="P30" s="372">
        <v>0.68455972434612589</v>
      </c>
      <c r="Q30" s="372">
        <v>0.76508363708629812</v>
      </c>
      <c r="R30" s="373">
        <v>0.58387897851399762</v>
      </c>
      <c r="S30" s="374">
        <f t="shared" si="5"/>
        <v>52.374544370552769</v>
      </c>
      <c r="T30" s="375">
        <v>0.39970003258303977</v>
      </c>
      <c r="U30" s="376">
        <f t="shared" si="3"/>
        <v>23.491636291370185</v>
      </c>
      <c r="V30" s="373">
        <v>0.17927808067708606</v>
      </c>
      <c r="W30" s="376">
        <f t="shared" si="4"/>
        <v>23.491636291370185</v>
      </c>
      <c r="X30" s="373">
        <v>0.17927808067708606</v>
      </c>
      <c r="Y30" s="373">
        <v>6.0334548345192626E-2</v>
      </c>
      <c r="Z30" s="373">
        <v>4.6044736482739469E-2</v>
      </c>
      <c r="AA30" s="395">
        <f>Tableau8[[#This Row],[Fixe]]/Tableau8[[#This Row],[Rémunération 
totale]]</f>
        <v>0.15412980010289706</v>
      </c>
      <c r="AB30" s="395">
        <f>(Tableau8[[#This Row],[Variable]]+Tableau8[[#This Row],[Bonus]])/Tableau8[[#This Row],[Rémunération 
totale]]</f>
        <v>0.23022368241369734</v>
      </c>
      <c r="AC30" s="395">
        <f>Tableau8[[#This Row],[Actions de performance]]/Tableau8[[#This Row],[Rémunération 
totale]]</f>
        <v>0.53293337677738628</v>
      </c>
      <c r="AD30" s="395">
        <f>(Tableau8[[#This Row],[Nature + Autres]]+Tableau8[[#This Row],[Retraite ]])/Tableau8[[#This Row],[Rémunération 
totale]]</f>
        <v>8.2713140706019289E-2</v>
      </c>
      <c r="AE30" s="231"/>
    </row>
    <row r="31" spans="1:31" x14ac:dyDescent="0.3">
      <c r="A31" s="378" t="s">
        <v>41</v>
      </c>
      <c r="B31" s="378" t="s">
        <v>60</v>
      </c>
      <c r="C31" s="378">
        <v>2022</v>
      </c>
      <c r="D31" s="379" t="s">
        <v>98</v>
      </c>
      <c r="E31" s="378" t="s">
        <v>99</v>
      </c>
      <c r="F31" s="378" t="s">
        <v>100</v>
      </c>
      <c r="G31" s="369" t="s">
        <v>64</v>
      </c>
      <c r="H31" s="321">
        <v>2878292</v>
      </c>
      <c r="I31" s="322">
        <v>1300000</v>
      </c>
      <c r="J31" s="322">
        <v>1566513</v>
      </c>
      <c r="K31" s="323"/>
      <c r="L31" s="323"/>
      <c r="M31" s="322">
        <v>11779</v>
      </c>
      <c r="N31" s="322"/>
      <c r="O31" s="372">
        <v>1</v>
      </c>
      <c r="P31" s="372">
        <v>0</v>
      </c>
      <c r="Q31" s="372">
        <v>0.60000000000000009</v>
      </c>
      <c r="R31" s="372">
        <v>0.32655053761049962</v>
      </c>
      <c r="S31" s="374">
        <f t="shared" si="5"/>
        <v>20</v>
      </c>
      <c r="T31" s="375">
        <v>0.10885017920349986</v>
      </c>
      <c r="U31" s="376">
        <f t="shared" si="3"/>
        <v>40</v>
      </c>
      <c r="V31" s="373">
        <v>0.21770035840699972</v>
      </c>
      <c r="W31" s="376">
        <f t="shared" si="4"/>
        <v>20</v>
      </c>
      <c r="X31" s="373">
        <v>0.10885017920349986</v>
      </c>
      <c r="Y31" s="373">
        <v>0.05</v>
      </c>
      <c r="Z31" s="373">
        <v>2.7212544800874965E-2</v>
      </c>
      <c r="AA31" s="395">
        <f>Tableau8[[#This Row],[Fixe]]/Tableau8[[#This Row],[Rémunération 
totale]]</f>
        <v>0.45165674643156428</v>
      </c>
      <c r="AB31" s="395">
        <f>(Tableau8[[#This Row],[Variable]]+Tableau8[[#This Row],[Bonus]])/Tableau8[[#This Row],[Rémunération 
totale]]</f>
        <v>0.54425089601749932</v>
      </c>
      <c r="AC31" s="395">
        <f>Tableau8[[#This Row],[Actions de performance]]/Tableau8[[#This Row],[Rémunération 
totale]]</f>
        <v>0</v>
      </c>
      <c r="AD31" s="395">
        <f>(Tableau8[[#This Row],[Nature + Autres]]+Tableau8[[#This Row],[Retraite ]])/Tableau8[[#This Row],[Rémunération 
totale]]</f>
        <v>4.0923575509364584E-3</v>
      </c>
      <c r="AE31" s="231"/>
    </row>
    <row r="32" spans="1:31" x14ac:dyDescent="0.3">
      <c r="A32" s="378" t="s">
        <v>6</v>
      </c>
      <c r="B32" s="378" t="s">
        <v>60</v>
      </c>
      <c r="C32" s="378">
        <v>2022</v>
      </c>
      <c r="D32" s="379" t="s">
        <v>7</v>
      </c>
      <c r="E32" s="378" t="s">
        <v>121</v>
      </c>
      <c r="F32" s="378" t="s">
        <v>122</v>
      </c>
      <c r="G32" s="369" t="s">
        <v>64</v>
      </c>
      <c r="H32" s="321">
        <v>21951194</v>
      </c>
      <c r="I32" s="322">
        <v>2000000</v>
      </c>
      <c r="J32" s="322">
        <v>7480000</v>
      </c>
      <c r="K32" s="323"/>
      <c r="L32" s="322">
        <v>10086849</v>
      </c>
      <c r="M32" s="322">
        <v>14345</v>
      </c>
      <c r="N32" s="322">
        <v>2370000</v>
      </c>
      <c r="O32" s="372">
        <v>0.42580203199788424</v>
      </c>
      <c r="P32" s="372">
        <v>0.57419796800211576</v>
      </c>
      <c r="Q32" s="372">
        <v>0.79999999999999993</v>
      </c>
      <c r="R32" s="373">
        <v>0.64021479651630797</v>
      </c>
      <c r="S32" s="374">
        <f t="shared" si="5"/>
        <v>22.967918720084633</v>
      </c>
      <c r="T32" s="375">
        <v>0.18380501762227605</v>
      </c>
      <c r="U32" s="376">
        <f t="shared" si="3"/>
        <v>20</v>
      </c>
      <c r="V32" s="373">
        <v>0.16005369912907699</v>
      </c>
      <c r="W32" s="376">
        <f t="shared" si="4"/>
        <v>20</v>
      </c>
      <c r="X32" s="373">
        <v>0.16005369912907699</v>
      </c>
      <c r="Y32" s="373">
        <v>0.11483959360042316</v>
      </c>
      <c r="Z32" s="373">
        <v>9.1902508811138026E-2</v>
      </c>
      <c r="AA32" s="395">
        <f>Tableau8[[#This Row],[Fixe]]/Tableau8[[#This Row],[Rémunération 
totale]]</f>
        <v>9.1111217002592199E-2</v>
      </c>
      <c r="AB32" s="395">
        <f>(Tableau8[[#This Row],[Variable]]+Tableau8[[#This Row],[Bonus]])/Tableau8[[#This Row],[Rémunération 
totale]]</f>
        <v>0.34075595158969485</v>
      </c>
      <c r="AC32" s="395">
        <f>Tableau8[[#This Row],[Actions de performance]]/Tableau8[[#This Row],[Rémunération 
totale]]</f>
        <v>0.45951254405569009</v>
      </c>
      <c r="AD32" s="395">
        <f>(Tableau8[[#This Row],[Nature + Autres]]+Tableau8[[#This Row],[Retraite ]])/Tableau8[[#This Row],[Rémunération 
totale]]</f>
        <v>0.10862028735202285</v>
      </c>
      <c r="AE32" s="231"/>
    </row>
    <row r="33" spans="1:31" x14ac:dyDescent="0.3">
      <c r="A33" s="378" t="s">
        <v>22</v>
      </c>
      <c r="B33" s="378" t="s">
        <v>60</v>
      </c>
      <c r="C33" s="378">
        <v>2022</v>
      </c>
      <c r="D33" s="379" t="s">
        <v>157</v>
      </c>
      <c r="E33" s="378" t="s">
        <v>155</v>
      </c>
      <c r="F33" s="378" t="s">
        <v>156</v>
      </c>
      <c r="G33" s="369" t="s">
        <v>64</v>
      </c>
      <c r="H33" s="321">
        <v>6773065.0669</v>
      </c>
      <c r="I33" s="322">
        <v>1173770.1381999999</v>
      </c>
      <c r="J33" s="322">
        <v>2351920.2608000003</v>
      </c>
      <c r="K33" s="322">
        <v>0</v>
      </c>
      <c r="L33" s="322">
        <v>1917145.8196</v>
      </c>
      <c r="M33" s="322">
        <v>905901.43929999997</v>
      </c>
      <c r="N33" s="322">
        <v>424327.40899999999</v>
      </c>
      <c r="O33" s="372">
        <v>0.58009859213643866</v>
      </c>
      <c r="P33" s="372">
        <v>0.41990140786356134</v>
      </c>
      <c r="Q33" s="372">
        <v>0.71227740545273766</v>
      </c>
      <c r="R33" s="373">
        <v>0.44894878189105331</v>
      </c>
      <c r="S33" s="374"/>
      <c r="T33" s="375">
        <v>0</v>
      </c>
      <c r="U33" s="376">
        <f t="shared" si="3"/>
        <v>31.481959071499599</v>
      </c>
      <c r="V33" s="373">
        <v>0.19843093531388975</v>
      </c>
      <c r="W33" s="376">
        <f t="shared" si="4"/>
        <v>5.5092149348497115</v>
      </c>
      <c r="X33" s="373">
        <v>3.472460750884921E-2</v>
      </c>
      <c r="Y33" s="373">
        <v>0</v>
      </c>
      <c r="Z33" s="373">
        <v>0</v>
      </c>
      <c r="AA33" s="395">
        <f>Tableau8[[#This Row],[Fixe]]/Tableau8[[#This Row],[Rémunération 
totale]]</f>
        <v>0.17329969911793996</v>
      </c>
      <c r="AB33" s="395">
        <f>(Tableau8[[#This Row],[Variable]]+Tableau8[[#This Row],[Bonus]])/Tableau8[[#This Row],[Rémunération 
totale]]</f>
        <v>0.34724607508849215</v>
      </c>
      <c r="AC33" s="395">
        <f>Tableau8[[#This Row],[Actions de performance]]/Tableau8[[#This Row],[Rémunération 
totale]]</f>
        <v>0.28305439275478106</v>
      </c>
      <c r="AD33" s="395">
        <f>(Tableau8[[#This Row],[Nature + Autres]]+Tableau8[[#This Row],[Retraite ]])/Tableau8[[#This Row],[Rémunération 
totale]]</f>
        <v>0.19639983303878689</v>
      </c>
      <c r="AE33" s="231"/>
    </row>
    <row r="34" spans="1:31" x14ac:dyDescent="0.3">
      <c r="A34" s="378" t="s">
        <v>3</v>
      </c>
      <c r="B34" s="378" t="s">
        <v>60</v>
      </c>
      <c r="C34" s="378">
        <v>2022</v>
      </c>
      <c r="D34" s="379" t="s">
        <v>4</v>
      </c>
      <c r="E34" s="378" t="s">
        <v>123</v>
      </c>
      <c r="F34" s="378" t="s">
        <v>124</v>
      </c>
      <c r="G34" s="369" t="s">
        <v>64</v>
      </c>
      <c r="H34" s="321">
        <v>19717238</v>
      </c>
      <c r="I34" s="322">
        <v>2492877</v>
      </c>
      <c r="J34" s="322">
        <v>2492877</v>
      </c>
      <c r="K34" s="323">
        <v>0</v>
      </c>
      <c r="L34" s="322">
        <v>14664250</v>
      </c>
      <c r="M34" s="322">
        <v>67234</v>
      </c>
      <c r="N34" s="322">
        <v>0</v>
      </c>
      <c r="O34" s="372">
        <v>0.97241422715140147</v>
      </c>
      <c r="P34" s="372">
        <v>2.7585772848598533E-2</v>
      </c>
      <c r="Q34" s="372">
        <v>0.84273515606663052</v>
      </c>
      <c r="R34" s="373">
        <v>0.73331336265251756</v>
      </c>
      <c r="S34" s="374">
        <f t="shared" ref="S34:S40" si="6">((T34*H34)/(J34+K34+L34))*100</f>
        <v>12.820546819989151</v>
      </c>
      <c r="T34" s="375">
        <v>0.11155910883664334</v>
      </c>
      <c r="U34" s="376">
        <f t="shared" si="3"/>
        <v>15.726484393336944</v>
      </c>
      <c r="V34" s="373">
        <v>0.13684537864786131</v>
      </c>
      <c r="W34" s="376">
        <f t="shared" si="4"/>
        <v>13.547031213326102</v>
      </c>
      <c r="X34" s="373">
        <v>0.11788067628944784</v>
      </c>
      <c r="Y34" s="373">
        <v>0.27350234686728148</v>
      </c>
      <c r="Z34" s="373">
        <v>0.23799045789273326</v>
      </c>
      <c r="AA34" s="395">
        <f>Tableau8[[#This Row],[Fixe]]/Tableau8[[#This Row],[Rémunération 
totale]]</f>
        <v>0.12643134905608991</v>
      </c>
      <c r="AB34" s="395">
        <f>(Tableau8[[#This Row],[Variable]]+Tableau8[[#This Row],[Bonus]])/Tableau8[[#This Row],[Rémunération 
totale]]</f>
        <v>0.12643134905608991</v>
      </c>
      <c r="AC34" s="395">
        <f>Tableau8[[#This Row],[Actions de performance]]/Tableau8[[#This Row],[Rémunération 
totale]]</f>
        <v>0.74372739224428897</v>
      </c>
      <c r="AD34" s="395">
        <f>(Tableau8[[#This Row],[Nature + Autres]]+Tableau8[[#This Row],[Retraite ]])/Tableau8[[#This Row],[Rémunération 
totale]]</f>
        <v>3.4099096435312084E-3</v>
      </c>
      <c r="AE34" s="231"/>
    </row>
    <row r="35" spans="1:31" x14ac:dyDescent="0.3">
      <c r="A35" s="378" t="s">
        <v>49</v>
      </c>
      <c r="B35" s="378" t="s">
        <v>60</v>
      </c>
      <c r="C35" s="378">
        <v>2022</v>
      </c>
      <c r="D35" s="379" t="s">
        <v>141</v>
      </c>
      <c r="E35" s="378" t="s">
        <v>139</v>
      </c>
      <c r="F35" s="378" t="s">
        <v>140</v>
      </c>
      <c r="G35" s="369" t="s">
        <v>64</v>
      </c>
      <c r="H35" s="321">
        <v>3140349</v>
      </c>
      <c r="I35" s="322">
        <v>850000</v>
      </c>
      <c r="J35" s="322">
        <v>1119603</v>
      </c>
      <c r="K35" s="323"/>
      <c r="L35" s="323">
        <v>849879</v>
      </c>
      <c r="M35" s="322">
        <v>50200</v>
      </c>
      <c r="N35" s="322">
        <v>270667</v>
      </c>
      <c r="O35" s="372">
        <v>0.62924232485445608</v>
      </c>
      <c r="P35" s="372">
        <v>0.37075767514554392</v>
      </c>
      <c r="Q35" s="372">
        <v>0.81472861899727955</v>
      </c>
      <c r="R35" s="372">
        <v>0.51096019900972789</v>
      </c>
      <c r="S35" s="374">
        <f t="shared" si="6"/>
        <v>8.6304825329705981</v>
      </c>
      <c r="T35" s="375">
        <v>5.4126404421928904E-2</v>
      </c>
      <c r="U35" s="376">
        <f t="shared" si="3"/>
        <v>18.527138100272055</v>
      </c>
      <c r="V35" s="373">
        <v>0.11619366191464707</v>
      </c>
      <c r="W35" s="376">
        <f t="shared" si="4"/>
        <v>10</v>
      </c>
      <c r="X35" s="373">
        <v>6.27153860924375E-2</v>
      </c>
      <c r="Y35" s="373">
        <v>5.736430949863975E-2</v>
      </c>
      <c r="Z35" s="373">
        <v>3.5976248181332715E-2</v>
      </c>
      <c r="AA35" s="395">
        <f>Tableau8[[#This Row],[Fixe]]/Tableau8[[#This Row],[Rémunération 
totale]]</f>
        <v>0.27067055285893382</v>
      </c>
      <c r="AB35" s="395">
        <f>(Tableau8[[#This Row],[Variable]]+Tableau8[[#This Row],[Bonus]])/Tableau8[[#This Row],[Rémunération 
totale]]</f>
        <v>0.35652183881473049</v>
      </c>
      <c r="AC35" s="395">
        <f>Tableau8[[#This Row],[Actions de performance]]/Tableau8[[#This Row],[Rémunération 
totale]]</f>
        <v>0.27063202210964449</v>
      </c>
      <c r="AD35" s="395">
        <f>(Tableau8[[#This Row],[Nature + Autres]]+Tableau8[[#This Row],[Retraite ]])/Tableau8[[#This Row],[Rémunération 
totale]]</f>
        <v>0.10217558621669121</v>
      </c>
      <c r="AE35" s="231"/>
    </row>
    <row r="36" spans="1:31" x14ac:dyDescent="0.3">
      <c r="A36" s="378" t="s">
        <v>35</v>
      </c>
      <c r="B36" s="378" t="s">
        <v>60</v>
      </c>
      <c r="C36" s="378">
        <v>2022</v>
      </c>
      <c r="D36" s="379" t="s">
        <v>61</v>
      </c>
      <c r="E36" s="378" t="s">
        <v>67</v>
      </c>
      <c r="F36" s="378" t="s">
        <v>68</v>
      </c>
      <c r="G36" s="369" t="s">
        <v>64</v>
      </c>
      <c r="H36" s="321">
        <v>7331079</v>
      </c>
      <c r="I36" s="322">
        <v>1550000</v>
      </c>
      <c r="J36" s="322">
        <v>2731875</v>
      </c>
      <c r="K36" s="323"/>
      <c r="L36" s="323">
        <v>2977600</v>
      </c>
      <c r="M36" s="322">
        <v>71604</v>
      </c>
      <c r="N36" s="322"/>
      <c r="O36" s="372">
        <v>1</v>
      </c>
      <c r="P36" s="372">
        <v>0</v>
      </c>
      <c r="Q36" s="372">
        <v>0.65749175274434157</v>
      </c>
      <c r="R36" s="373">
        <v>0.51205732812318616</v>
      </c>
      <c r="S36" s="374">
        <f t="shared" si="6"/>
        <v>34.305497440657859</v>
      </c>
      <c r="T36" s="375">
        <v>0.26717264948311159</v>
      </c>
      <c r="U36" s="376">
        <f t="shared" si="3"/>
        <v>34.254652573135012</v>
      </c>
      <c r="V36" s="373">
        <v>0.26677666752738582</v>
      </c>
      <c r="W36" s="376">
        <f t="shared" si="4"/>
        <v>23.620892025974367</v>
      </c>
      <c r="X36" s="373">
        <v>0.18396049544685034</v>
      </c>
      <c r="Y36" s="373">
        <v>0.26279332162764524</v>
      </c>
      <c r="Z36" s="373">
        <v>0.20466453846698418</v>
      </c>
      <c r="AA36" s="395">
        <f>Tableau8[[#This Row],[Fixe]]/Tableau8[[#This Row],[Rémunération 
totale]]</f>
        <v>0.21142863144702165</v>
      </c>
      <c r="AB36" s="395">
        <f>(Tableau8[[#This Row],[Variable]]+Tableau8[[#This Row],[Bonus]])/Tableau8[[#This Row],[Rémunération 
totale]]</f>
        <v>0.37264296292537563</v>
      </c>
      <c r="AC36" s="395">
        <f>Tableau8[[#This Row],[Actions de performance]]/Tableau8[[#This Row],[Rémunération 
totale]]</f>
        <v>0.40616122128816234</v>
      </c>
      <c r="AD36" s="395">
        <f>(Tableau8[[#This Row],[Nature + Autres]]+Tableau8[[#This Row],[Retraite ]])/Tableau8[[#This Row],[Rémunération 
totale]]</f>
        <v>9.7671843394403473E-3</v>
      </c>
      <c r="AE36" s="231"/>
    </row>
    <row r="37" spans="1:31" x14ac:dyDescent="0.3">
      <c r="A37" s="378" t="s">
        <v>57</v>
      </c>
      <c r="B37" s="378" t="s">
        <v>60</v>
      </c>
      <c r="C37" s="378">
        <v>2022</v>
      </c>
      <c r="D37" s="379" t="s">
        <v>167</v>
      </c>
      <c r="E37" s="378" t="s">
        <v>168</v>
      </c>
      <c r="F37" s="378" t="s">
        <v>169</v>
      </c>
      <c r="G37" s="369" t="s">
        <v>64</v>
      </c>
      <c r="H37" s="321">
        <v>3838899</v>
      </c>
      <c r="I37" s="322">
        <v>1000000</v>
      </c>
      <c r="J37" s="322">
        <v>1256238</v>
      </c>
      <c r="K37" s="323">
        <v>79890</v>
      </c>
      <c r="L37" s="323">
        <v>1070122</v>
      </c>
      <c r="M37" s="322">
        <v>114402</v>
      </c>
      <c r="N37" s="322">
        <v>318247</v>
      </c>
      <c r="O37" s="372">
        <v>0.47222222073054809</v>
      </c>
      <c r="P37" s="372">
        <v>0.52777777926945191</v>
      </c>
      <c r="Q37" s="372">
        <v>0.77389635324675332</v>
      </c>
      <c r="R37" s="372">
        <v>0.48508390035788912</v>
      </c>
      <c r="S37" s="374">
        <f t="shared" si="6"/>
        <v>56.506717922077918</v>
      </c>
      <c r="T37" s="375">
        <v>0.35418824511923858</v>
      </c>
      <c r="U37" s="376">
        <f t="shared" si="3"/>
        <v>22.278354285714286</v>
      </c>
      <c r="V37" s="373">
        <v>0.13964235579003251</v>
      </c>
      <c r="W37" s="376">
        <f t="shared" si="4"/>
        <v>14.447260259740261</v>
      </c>
      <c r="X37" s="373">
        <v>9.0556485075538595E-2</v>
      </c>
      <c r="Y37" s="373">
        <v>4.7792706493506497E-2</v>
      </c>
      <c r="Z37" s="373">
        <v>2.9956818348177438E-2</v>
      </c>
      <c r="AA37" s="395">
        <f>Tableau8[[#This Row],[Fixe]]/Tableau8[[#This Row],[Rémunération 
totale]]</f>
        <v>0.2604913544221924</v>
      </c>
      <c r="AB37" s="395">
        <f>(Tableau8[[#This Row],[Variable]]+Tableau8[[#This Row],[Bonus]])/Tableau8[[#This Row],[Rémunération 
totale]]</f>
        <v>0.34804979240141509</v>
      </c>
      <c r="AC37" s="395">
        <f>Tableau8[[#This Row],[Actions de performance]]/Tableau8[[#This Row],[Rémunération 
totale]]</f>
        <v>0.27875752917698537</v>
      </c>
      <c r="AD37" s="395">
        <f>(Tableau8[[#This Row],[Nature + Autres]]+Tableau8[[#This Row],[Retraite ]])/Tableau8[[#This Row],[Rémunération 
totale]]</f>
        <v>0.11270132399940712</v>
      </c>
      <c r="AE37" s="231"/>
    </row>
    <row r="38" spans="1:31" x14ac:dyDescent="0.3">
      <c r="A38" s="378" t="s">
        <v>50</v>
      </c>
      <c r="B38" s="378" t="s">
        <v>60</v>
      </c>
      <c r="C38" s="378">
        <v>2022</v>
      </c>
      <c r="D38" s="379" t="s">
        <v>142</v>
      </c>
      <c r="E38" s="378" t="s">
        <v>114</v>
      </c>
      <c r="F38" s="378" t="s">
        <v>143</v>
      </c>
      <c r="G38" s="369" t="s">
        <v>64</v>
      </c>
      <c r="H38" s="321">
        <v>2910073</v>
      </c>
      <c r="I38" s="322">
        <v>1030000</v>
      </c>
      <c r="J38" s="322">
        <v>1528576</v>
      </c>
      <c r="K38" s="323"/>
      <c r="L38" s="323">
        <v>350584</v>
      </c>
      <c r="M38" s="322">
        <v>913</v>
      </c>
      <c r="N38" s="322"/>
      <c r="O38" s="372">
        <v>0.56940505332169689</v>
      </c>
      <c r="P38" s="372">
        <v>0.43059494667830311</v>
      </c>
      <c r="Q38" s="372">
        <v>0.5</v>
      </c>
      <c r="R38" s="373">
        <v>0.32287162555715954</v>
      </c>
      <c r="S38" s="374">
        <f t="shared" si="6"/>
        <v>29.664105238510825</v>
      </c>
      <c r="T38" s="375">
        <v>0.19155395758113283</v>
      </c>
      <c r="U38" s="376">
        <f t="shared" si="3"/>
        <v>49.999999999999993</v>
      </c>
      <c r="V38" s="373">
        <v>0.32287162555715954</v>
      </c>
      <c r="W38" s="376">
        <f t="shared" si="4"/>
        <v>31.399231571553248</v>
      </c>
      <c r="X38" s="373">
        <v>0.20275841877506168</v>
      </c>
      <c r="Y38" s="373">
        <v>6.3992315715532475E-2</v>
      </c>
      <c r="Z38" s="373">
        <v>4.1322605996481875E-2</v>
      </c>
      <c r="AA38" s="395">
        <f>Tableau8[[#This Row],[Fixe]]/Tableau8[[#This Row],[Rémunération 
totale]]</f>
        <v>0.3539430110516128</v>
      </c>
      <c r="AB38" s="395">
        <f>(Tableau8[[#This Row],[Variable]]+Tableau8[[#This Row],[Bonus]])/Tableau8[[#This Row],[Rémunération 
totale]]</f>
        <v>0.52527067190410692</v>
      </c>
      <c r="AC38" s="395">
        <f>Tableau8[[#This Row],[Actions de performance]]/Tableau8[[#This Row],[Rémunération 
totale]]</f>
        <v>0.12047257921021225</v>
      </c>
      <c r="AD38" s="395">
        <f>(Tableau8[[#This Row],[Nature + Autres]]+Tableau8[[#This Row],[Retraite ]])/Tableau8[[#This Row],[Rémunération 
totale]]</f>
        <v>3.1373783406808009E-4</v>
      </c>
      <c r="AE38" s="231"/>
    </row>
    <row r="39" spans="1:31" x14ac:dyDescent="0.3">
      <c r="A39" s="378" t="s">
        <v>40</v>
      </c>
      <c r="B39" s="378" t="s">
        <v>60</v>
      </c>
      <c r="C39" s="378">
        <v>2022</v>
      </c>
      <c r="D39" s="379" t="s">
        <v>95</v>
      </c>
      <c r="E39" s="378" t="s">
        <v>96</v>
      </c>
      <c r="F39" s="378" t="s">
        <v>97</v>
      </c>
      <c r="G39" s="369" t="s">
        <v>64</v>
      </c>
      <c r="H39" s="321">
        <v>6313100</v>
      </c>
      <c r="I39" s="322">
        <v>1271944</v>
      </c>
      <c r="J39" s="322">
        <v>2007200</v>
      </c>
      <c r="K39" s="323"/>
      <c r="L39" s="322">
        <v>2689750</v>
      </c>
      <c r="M39" s="322">
        <v>5574</v>
      </c>
      <c r="N39" s="322">
        <v>338632</v>
      </c>
      <c r="O39" s="372">
        <v>0.37382289879432251</v>
      </c>
      <c r="P39" s="372">
        <v>0.62617710120567749</v>
      </c>
      <c r="Q39" s="372">
        <v>0.68589882796282697</v>
      </c>
      <c r="R39" s="373">
        <v>0.51030911913323085</v>
      </c>
      <c r="S39" s="374">
        <f t="shared" si="6"/>
        <v>22.863294265427562</v>
      </c>
      <c r="T39" s="375">
        <v>0.17010303971107696</v>
      </c>
      <c r="U39" s="376">
        <f t="shared" si="3"/>
        <v>31.405843792248156</v>
      </c>
      <c r="V39" s="373">
        <v>0.2336596569038982</v>
      </c>
      <c r="W39" s="376">
        <f t="shared" si="4"/>
        <v>21.43597483473318</v>
      </c>
      <c r="X39" s="373">
        <v>0.15948377500752403</v>
      </c>
      <c r="Y39" s="373">
        <v>0.14316471327137822</v>
      </c>
      <c r="Z39" s="373">
        <v>0.10651462831255643</v>
      </c>
      <c r="AA39" s="395">
        <f>Tableau8[[#This Row],[Fixe]]/Tableau8[[#This Row],[Rémunération 
totale]]</f>
        <v>0.20147692892556748</v>
      </c>
      <c r="AB39" s="395">
        <f>(Tableau8[[#This Row],[Variable]]+Tableau8[[#This Row],[Bonus]])/Tableau8[[#This Row],[Rémunération 
totale]]</f>
        <v>0.3179420569926027</v>
      </c>
      <c r="AC39" s="395">
        <f>Tableau8[[#This Row],[Actions de performance]]/Tableau8[[#This Row],[Rémunération 
totale]]</f>
        <v>0.4260585132502257</v>
      </c>
      <c r="AD39" s="395">
        <f>(Tableau8[[#This Row],[Nature + Autres]]+Tableau8[[#This Row],[Retraite ]])/Tableau8[[#This Row],[Rémunération 
totale]]</f>
        <v>5.4522500831604127E-2</v>
      </c>
      <c r="AE39" s="231"/>
    </row>
    <row r="40" spans="1:31" x14ac:dyDescent="0.3">
      <c r="A40" s="378" t="s">
        <v>53</v>
      </c>
      <c r="B40" s="378" t="s">
        <v>60</v>
      </c>
      <c r="C40" s="378">
        <v>2022</v>
      </c>
      <c r="D40" s="379" t="s">
        <v>149</v>
      </c>
      <c r="E40" s="378" t="s">
        <v>150</v>
      </c>
      <c r="F40" s="378" t="s">
        <v>151</v>
      </c>
      <c r="G40" s="369" t="s">
        <v>64</v>
      </c>
      <c r="H40" s="321">
        <v>4308103</v>
      </c>
      <c r="I40" s="322">
        <v>2000000</v>
      </c>
      <c r="J40" s="322">
        <v>1700000</v>
      </c>
      <c r="K40" s="323"/>
      <c r="L40" s="323">
        <v>569400</v>
      </c>
      <c r="M40" s="322">
        <v>38703</v>
      </c>
      <c r="N40" s="322"/>
      <c r="O40" s="372">
        <v>0.66559649191496029</v>
      </c>
      <c r="P40" s="372">
        <v>0.33440350808503971</v>
      </c>
      <c r="Q40" s="372">
        <v>0.67527099673922619</v>
      </c>
      <c r="R40" s="373">
        <v>0.35571572917360611</v>
      </c>
      <c r="S40" s="374">
        <f t="shared" si="6"/>
        <v>17.563232572486122</v>
      </c>
      <c r="T40" s="375">
        <v>9.251867933519696E-2</v>
      </c>
      <c r="U40" s="376">
        <f t="shared" si="3"/>
        <v>32.472900326077372</v>
      </c>
      <c r="V40" s="373">
        <v>0.17105904849535863</v>
      </c>
      <c r="W40" s="376">
        <f t="shared" si="4"/>
        <v>11.23645016303869</v>
      </c>
      <c r="X40" s="373">
        <v>5.9190785364231085E-2</v>
      </c>
      <c r="Y40" s="373">
        <v>6.2545166123204377E-2</v>
      </c>
      <c r="Z40" s="373">
        <v>3.2947215978819451E-2</v>
      </c>
      <c r="AA40" s="395">
        <f>Tableau8[[#This Row],[Fixe]]/Tableau8[[#This Row],[Rémunération 
totale]]</f>
        <v>0.46424145383710652</v>
      </c>
      <c r="AB40" s="395">
        <f>(Tableau8[[#This Row],[Variable]]+Tableau8[[#This Row],[Bonus]])/Tableau8[[#This Row],[Rémunération 
totale]]</f>
        <v>0.3946052357615405</v>
      </c>
      <c r="AC40" s="395">
        <f>Tableau8[[#This Row],[Actions de performance]]/Tableau8[[#This Row],[Rémunération 
totale]]</f>
        <v>0.13216954190742422</v>
      </c>
      <c r="AD40" s="395">
        <f>(Tableau8[[#This Row],[Nature + Autres]]+Tableau8[[#This Row],[Retraite ]])/Tableau8[[#This Row],[Rémunération 
totale]]</f>
        <v>8.9837684939287656E-3</v>
      </c>
      <c r="AE40" s="231"/>
    </row>
    <row r="41" spans="1:31" x14ac:dyDescent="0.3">
      <c r="A41" s="378" t="s">
        <v>58</v>
      </c>
      <c r="B41" s="378" t="s">
        <v>60</v>
      </c>
      <c r="C41" s="378">
        <v>2022</v>
      </c>
      <c r="D41" s="379" t="s">
        <v>170</v>
      </c>
      <c r="E41" s="378" t="s">
        <v>161</v>
      </c>
      <c r="F41" s="378" t="s">
        <v>171</v>
      </c>
      <c r="G41" s="369" t="s">
        <v>64</v>
      </c>
      <c r="H41" s="321">
        <v>3125927</v>
      </c>
      <c r="I41" s="322">
        <v>750000</v>
      </c>
      <c r="J41" s="322">
        <v>994798</v>
      </c>
      <c r="K41" s="323">
        <v>291822</v>
      </c>
      <c r="L41" s="323">
        <v>1077872</v>
      </c>
      <c r="M41" s="322">
        <v>11435</v>
      </c>
      <c r="N41" s="322"/>
      <c r="O41" s="372">
        <v>0.44966609468038699</v>
      </c>
      <c r="P41" s="372">
        <v>0.55033390531961301</v>
      </c>
      <c r="Q41" s="372">
        <v>0.84207237749165575</v>
      </c>
      <c r="R41" s="373">
        <v>0.63695454180471911</v>
      </c>
      <c r="S41" s="374">
        <v>0</v>
      </c>
      <c r="T41" s="375">
        <v>0</v>
      </c>
      <c r="U41" s="376">
        <f t="shared" si="3"/>
        <v>15.79276225083443</v>
      </c>
      <c r="V41" s="373">
        <v>0.11945851582586543</v>
      </c>
      <c r="W41" s="376">
        <f t="shared" si="4"/>
        <v>15.79276225083443</v>
      </c>
      <c r="X41" s="373">
        <v>0.11945851582586543</v>
      </c>
      <c r="Y41" s="373">
        <v>5.7927622508344295E-2</v>
      </c>
      <c r="Z41" s="373">
        <v>4.3817210062806977E-2</v>
      </c>
      <c r="AA41" s="395">
        <f>Tableau8[[#This Row],[Fixe]]/Tableau8[[#This Row],[Rémunération 
totale]]</f>
        <v>0.23992882751260666</v>
      </c>
      <c r="AB41" s="395">
        <f>(Tableau8[[#This Row],[Variable]]+Tableau8[[#This Row],[Bonus]])/Tableau8[[#This Row],[Rémunération 
totale]]</f>
        <v>0.41159630407235998</v>
      </c>
      <c r="AC41" s="395">
        <f>Tableau8[[#This Row],[Actions de performance]]/Tableau8[[#This Row],[Rémunération 
totale]]</f>
        <v>0.3448167535582245</v>
      </c>
      <c r="AD41" s="395">
        <f>(Tableau8[[#This Row],[Nature + Autres]]+Tableau8[[#This Row],[Retraite ]])/Tableau8[[#This Row],[Rémunération 
totale]]</f>
        <v>3.6581148568088761E-3</v>
      </c>
      <c r="AE41" s="231"/>
    </row>
    <row r="43" spans="1:31" s="394" customFormat="1" ht="86.4" x14ac:dyDescent="0.3">
      <c r="A43" s="386" t="s">
        <v>0</v>
      </c>
      <c r="B43" s="386" t="s">
        <v>59</v>
      </c>
      <c r="C43" s="386" t="s">
        <v>23</v>
      </c>
      <c r="D43" s="386"/>
      <c r="E43" s="386"/>
      <c r="F43" s="386"/>
      <c r="G43" s="386"/>
      <c r="H43" s="386" t="s">
        <v>634</v>
      </c>
      <c r="I43" s="386" t="s">
        <v>635</v>
      </c>
      <c r="J43" s="386" t="s">
        <v>636</v>
      </c>
      <c r="K43" s="386" t="s">
        <v>637</v>
      </c>
      <c r="L43" s="387" t="s">
        <v>175</v>
      </c>
      <c r="M43" s="387" t="s">
        <v>176</v>
      </c>
      <c r="N43" s="387" t="s">
        <v>177</v>
      </c>
      <c r="O43" s="388" t="s">
        <v>178</v>
      </c>
      <c r="P43" s="388" t="s">
        <v>179</v>
      </c>
      <c r="Q43" s="388" t="s">
        <v>598</v>
      </c>
      <c r="R43" s="389" t="s">
        <v>226</v>
      </c>
      <c r="S43" s="388" t="s">
        <v>740</v>
      </c>
      <c r="T43" s="388" t="s">
        <v>227</v>
      </c>
      <c r="U43" s="388"/>
      <c r="V43" s="389" t="s">
        <v>180</v>
      </c>
      <c r="W43" s="389" t="s">
        <v>742</v>
      </c>
      <c r="X43" s="388" t="s">
        <v>181</v>
      </c>
      <c r="Y43" s="390" t="s">
        <v>682</v>
      </c>
      <c r="Z43" s="391" t="s">
        <v>683</v>
      </c>
      <c r="AA43" s="391" t="s">
        <v>739</v>
      </c>
      <c r="AB43" s="392" t="s">
        <v>738</v>
      </c>
      <c r="AC43" s="392" t="s">
        <v>736</v>
      </c>
      <c r="AD43" s="392" t="s">
        <v>737</v>
      </c>
      <c r="AE43" s="393"/>
    </row>
    <row r="44" spans="1:31" s="335" customFormat="1" ht="21" x14ac:dyDescent="0.4">
      <c r="A44" s="331" t="s">
        <v>633</v>
      </c>
      <c r="B44" s="331" t="s">
        <v>300</v>
      </c>
      <c r="C44" s="331">
        <v>2022</v>
      </c>
      <c r="D44" s="331"/>
      <c r="E44" s="331"/>
      <c r="F44" s="331"/>
      <c r="G44" s="331"/>
      <c r="H44" s="332">
        <f>AVERAGE(Tableau8[Rémunération 
totale])</f>
        <v>6659169.6291724993</v>
      </c>
      <c r="I44" s="332">
        <f>AVERAGE(Tableau8[Fixe])</f>
        <v>1322093.328455</v>
      </c>
      <c r="J44" s="332">
        <f>AVERAGE(Tableau8[Variable])</f>
        <v>1924327.5689948718</v>
      </c>
      <c r="K44" s="333">
        <f>AVERAGE(Tableau8[Bonus])</f>
        <v>298420</v>
      </c>
      <c r="L44" s="333">
        <f>AVERAGE(Tableau8[Actions de performance])</f>
        <v>3402524.6989081083</v>
      </c>
      <c r="M44" s="333">
        <f>AVERAGE(Tableau8[Nature + Autres])</f>
        <v>105646.13322432432</v>
      </c>
      <c r="N44" s="333">
        <f>AVERAGE(Tableau8[[Retraite ]])</f>
        <v>376517.06993333338</v>
      </c>
      <c r="O44" s="334">
        <f>AVERAGE(Tableau8[Part court-terme/financier])</f>
        <v>0.55247592991078065</v>
      </c>
      <c r="P44" s="334">
        <f>AVERAGE(Tableau8[Part long-terme/financier])</f>
        <v>0.44752407008921924</v>
      </c>
      <c r="Q44" s="334">
        <f>AVERAGE(Tableau8[Poids financier dans la rémunération variable])</f>
        <v>0.71293750937834255</v>
      </c>
      <c r="R44" s="334">
        <f>AVERAGE(Tableau8[Poids financier dans la rémunération totale])</f>
        <v>0.51204514208829865</v>
      </c>
      <c r="S44" s="342">
        <f>AVERAGE(Tableau8[Part de la valeur actionnariale dans la rémunération variable (%)])</f>
        <v>26.889126053853104</v>
      </c>
      <c r="T44" s="334">
        <f>AVERAGE(Tableau8[Poids valeur actionnariale dans la rémunération totale])</f>
        <v>0.19013339983844896</v>
      </c>
      <c r="U44" s="342">
        <f>AVERAGE(Tableau8[Poids non financier dans la rémunération variable (%)])</f>
        <v>25.076189545586566</v>
      </c>
      <c r="V44" s="334">
        <f>AVERAGE(Tableau8[Poids non financier dans la rémunération totale])</f>
        <v>0.17517855561944154</v>
      </c>
      <c r="W44" s="342">
        <f>AVERAGE(Tableau8[Part non financière mesurable dans la rémunération variable (%)])</f>
        <v>13.665113922425297</v>
      </c>
      <c r="X44" s="334">
        <f>AVERAGE(Tableau8[Poids non financier mesurable dans la rémunération totale])</f>
        <v>9.6055406906701293E-2</v>
      </c>
      <c r="Y44" s="398">
        <f>AVERAGE(Tableau8[[Poids climatique dans la rémunération variable ]])</f>
        <v>7.8565707546879762E-2</v>
      </c>
      <c r="Z44" s="398">
        <f>AVERAGE(Tableau8[Poids climatique dans rémunération totale])</f>
        <v>5.7718807746140591E-2</v>
      </c>
      <c r="AA44" s="334">
        <f>AVERAGE(AA2:AA41)</f>
        <v>0.26981097512167146</v>
      </c>
      <c r="AB44" s="334">
        <f>AVERAGE(AB2:AB41)</f>
        <v>0.34408055847527186</v>
      </c>
      <c r="AC44" s="334">
        <f>AVERAGE(AC2:AC41)</f>
        <v>0.35075606691158329</v>
      </c>
      <c r="AD44" s="334">
        <f>AVERAGE(AD2:AD41)</f>
        <v>3.5352399491473292E-2</v>
      </c>
      <c r="AE44"/>
    </row>
  </sheetData>
  <hyperlinks>
    <hyperlink ref="D34" r:id="rId1"/>
    <hyperlink ref="D32" r:id="rId2"/>
    <hyperlink ref="D10" r:id="rId3"/>
    <hyperlink ref="D13" r:id="rId4"/>
    <hyperlink ref="D18" r:id="rId5"/>
    <hyperlink ref="D24" r:id="rId6"/>
    <hyperlink ref="D15" r:id="rId7"/>
    <hyperlink ref="D12" r:id="rId8"/>
    <hyperlink ref="D9" r:id="rId9"/>
    <hyperlink ref="D36" r:id="rId10"/>
    <hyperlink ref="D20" r:id="rId11"/>
    <hyperlink ref="D28" r:id="rId12"/>
    <hyperlink ref="D21" r:id="rId13"/>
    <hyperlink ref="D26" r:id="rId14"/>
    <hyperlink ref="D30" r:id="rId15"/>
    <hyperlink ref="D29" r:id="rId16"/>
    <hyperlink ref="D7" r:id="rId17"/>
    <hyperlink ref="D6" r:id="rId18"/>
    <hyperlink ref="D11" r:id="rId19"/>
    <hyperlink ref="D39" r:id="rId20"/>
    <hyperlink ref="D31" r:id="rId21"/>
    <hyperlink ref="D14" r:id="rId22"/>
    <hyperlink ref="D23" r:id="rId23"/>
    <hyperlink ref="D2" r:id="rId24"/>
    <hyperlink ref="D3" r:id="rId25"/>
    <hyperlink ref="D17" r:id="rId26"/>
    <hyperlink ref="D22" r:id="rId27"/>
    <hyperlink ref="D8" r:id="rId28"/>
    <hyperlink ref="D35" r:id="rId29"/>
    <hyperlink ref="D38" r:id="rId30"/>
    <hyperlink ref="D27" r:id="rId31"/>
    <hyperlink ref="D25" r:id="rId32"/>
    <hyperlink ref="D40" r:id="rId33"/>
    <hyperlink ref="D5" r:id="rId34"/>
    <hyperlink ref="D33" r:id="rId35"/>
    <hyperlink ref="D19" r:id="rId36"/>
    <hyperlink ref="D16" r:id="rId37"/>
    <hyperlink ref="D4" r:id="rId38"/>
    <hyperlink ref="D37" r:id="rId39"/>
    <hyperlink ref="D41" r:id="rId40"/>
  </hyperlinks>
  <pageMargins left="0.7" right="0.7" top="0.75" bottom="0.75" header="0.3" footer="0.3"/>
  <pageSetup paperSize="9" orientation="portrait" r:id="rId41"/>
  <legacyDrawing r:id="rId42"/>
  <tableParts count="1">
    <tablePart r:id="rId4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7" workbookViewId="0">
      <selection activeCell="R2" sqref="R2"/>
    </sheetView>
  </sheetViews>
  <sheetFormatPr baseColWidth="10" defaultRowHeight="14.4" x14ac:dyDescent="0.3"/>
  <cols>
    <col min="2" max="2" width="41.44140625" customWidth="1"/>
    <col min="4" max="4" width="17" customWidth="1"/>
    <col min="7" max="7" width="13.88671875" bestFit="1" customWidth="1"/>
    <col min="9" max="9" width="19.109375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x14ac:dyDescent="0.3">
      <c r="A2" s="51" t="s">
        <v>384</v>
      </c>
      <c r="B2" s="52" t="s">
        <v>385</v>
      </c>
      <c r="C2" s="286" t="s">
        <v>319</v>
      </c>
      <c r="D2" s="55">
        <f>SUM(Table_35456781011141516171819202125[[#This Row],[Fixe]:[Retraite ]])</f>
        <v>4622082</v>
      </c>
      <c r="E2" s="55">
        <v>1000000</v>
      </c>
      <c r="F2" s="55">
        <v>1700000</v>
      </c>
      <c r="G2" s="55"/>
      <c r="H2" s="55">
        <v>1919924</v>
      </c>
      <c r="I2" s="55">
        <v>2158</v>
      </c>
      <c r="J2" s="55"/>
      <c r="K2" s="58">
        <f>((J11*J7)*F2+(J24*J20)*G2+(J33*J29)*H2)/((J7*F2)+(J20*G2)+(J29*H2))</f>
        <v>0.42434067907701356</v>
      </c>
      <c r="L2" s="59">
        <f>1-K2</f>
        <v>0.57565932092298644</v>
      </c>
      <c r="M2" s="59">
        <f>(J7*F2+J20*G2+J29*H2)
/(F2+G2+H2)</f>
        <v>0.73707050203263946</v>
      </c>
      <c r="N2" s="60">
        <f>(J7*F2+J20*G2+J29*H2)/D2</f>
        <v>0.5772591658910422</v>
      </c>
      <c r="O2" s="61">
        <f>(F2*J10+G2*J23+H2*J32)/D2</f>
        <v>0.45478189266222457</v>
      </c>
      <c r="P2" s="62">
        <f>(J8*F2+J21*G2+J30*H2)/D2</f>
        <v>0.20555342808716937</v>
      </c>
      <c r="Q2" s="62">
        <f>(J9*F2+J22*G2+J31*H2)/D2</f>
        <v>0</v>
      </c>
      <c r="R2" s="62">
        <f>(J13*F2+J26*G2+J35*H2)/(F2+G2+H2)</f>
        <v>4.5784091968044997E-2</v>
      </c>
      <c r="S2" s="62">
        <f>(J13*F2+J26*G2+J35*H2)/D2</f>
        <v>3.5857203168038414E-2</v>
      </c>
    </row>
    <row r="3" spans="1:24" x14ac:dyDescent="0.3">
      <c r="A3" s="283"/>
      <c r="B3" s="293"/>
      <c r="C3" s="294"/>
      <c r="D3" s="295"/>
      <c r="E3" s="295"/>
      <c r="F3" s="295"/>
      <c r="G3" s="295"/>
      <c r="H3" s="295"/>
      <c r="I3" s="295"/>
      <c r="J3" s="295"/>
      <c r="K3" s="296"/>
      <c r="L3" s="296"/>
      <c r="M3" s="296"/>
      <c r="N3" s="284"/>
      <c r="O3" s="297"/>
      <c r="P3" s="284"/>
      <c r="Q3" s="284"/>
      <c r="R3" s="284"/>
      <c r="S3" s="28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387</v>
      </c>
      <c r="C7" s="262">
        <f>25%*66.6%</f>
        <v>0.16649999999999998</v>
      </c>
      <c r="D7" s="287" t="s">
        <v>191</v>
      </c>
      <c r="E7" s="287" t="s">
        <v>103</v>
      </c>
      <c r="F7" s="288"/>
      <c r="G7" s="289"/>
      <c r="H7" s="8"/>
      <c r="I7" s="44" t="s">
        <v>211</v>
      </c>
      <c r="J7" s="45">
        <f>SUMIF(E7:E17,"F",C7:C17)</f>
        <v>0.66599999999999993</v>
      </c>
      <c r="K7" s="65"/>
      <c r="L7" s="73" t="s">
        <v>470</v>
      </c>
      <c r="M7" t="s">
        <v>731</v>
      </c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388</v>
      </c>
      <c r="C8" s="262">
        <f>25%*66.6%</f>
        <v>0.16649999999999998</v>
      </c>
      <c r="D8" s="287" t="s">
        <v>191</v>
      </c>
      <c r="E8" s="287" t="s">
        <v>103</v>
      </c>
      <c r="F8" s="290" t="s">
        <v>225</v>
      </c>
      <c r="G8" s="289"/>
      <c r="H8" s="8"/>
      <c r="I8" s="44" t="s">
        <v>212</v>
      </c>
      <c r="J8" s="45">
        <f>SUMIF(E7:E17,"NF",C7:C17)</f>
        <v>0.33299999999999996</v>
      </c>
      <c r="K8" s="65"/>
      <c r="M8" s="291" t="s">
        <v>732</v>
      </c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389</v>
      </c>
      <c r="C9" s="262">
        <f>25%*66.6%</f>
        <v>0.16649999999999998</v>
      </c>
      <c r="D9" s="287" t="s">
        <v>191</v>
      </c>
      <c r="E9" s="287" t="s">
        <v>103</v>
      </c>
      <c r="F9" s="287"/>
      <c r="G9" s="234"/>
      <c r="H9" s="8"/>
      <c r="I9" s="44" t="s">
        <v>213</v>
      </c>
      <c r="J9" s="45">
        <f>SUMIFS(C7:C17,E7:E17,"NF",G7:G17,"OUI")</f>
        <v>0</v>
      </c>
      <c r="K9" s="65"/>
      <c r="L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390</v>
      </c>
      <c r="C10" s="262">
        <f>25%*66.6%</f>
        <v>0.16649999999999998</v>
      </c>
      <c r="D10" s="287" t="s">
        <v>191</v>
      </c>
      <c r="E10" s="287" t="s">
        <v>103</v>
      </c>
      <c r="F10" s="290" t="s">
        <v>225</v>
      </c>
      <c r="G10" s="234"/>
      <c r="H10" s="8"/>
      <c r="I10" s="44" t="s">
        <v>214</v>
      </c>
      <c r="J10" s="45">
        <f>SUMIFS(C7:C17,E7:E17,"F",F7:F17,"oui")</f>
        <v>0.33299999999999996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391</v>
      </c>
      <c r="C11" s="262">
        <f>1/3*33.3%</f>
        <v>0.11099999999999999</v>
      </c>
      <c r="D11" s="287"/>
      <c r="E11" s="287" t="s">
        <v>197</v>
      </c>
      <c r="F11" s="287"/>
      <c r="G11" s="234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392</v>
      </c>
      <c r="C12" s="262">
        <f>1/3*33.3%</f>
        <v>0.11099999999999999</v>
      </c>
      <c r="D12" s="262"/>
      <c r="E12" s="262" t="s">
        <v>197</v>
      </c>
      <c r="F12" s="262"/>
      <c r="G12" s="236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328</v>
      </c>
      <c r="C13" s="262">
        <f>1/3*33.3%</f>
        <v>0.11099999999999999</v>
      </c>
      <c r="D13" s="262"/>
      <c r="E13" s="262" t="s">
        <v>197</v>
      </c>
      <c r="F13" s="262"/>
      <c r="G13" s="236"/>
      <c r="H13" s="20" t="s">
        <v>225</v>
      </c>
      <c r="I13" s="44" t="s">
        <v>687</v>
      </c>
      <c r="J13" s="45">
        <f>1/5*(SUMIFS(C7:C17,E7:E17,"NF",H7:H17,"OUI"))</f>
        <v>2.2199999999999998E-2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 t="s">
        <v>386</v>
      </c>
      <c r="O19" s="64"/>
      <c r="P19" s="64"/>
      <c r="Q19" s="64"/>
    </row>
    <row r="20" spans="1:17" ht="15" thickBot="1" x14ac:dyDescent="0.35">
      <c r="A20" s="8" t="s">
        <v>189</v>
      </c>
      <c r="B20" s="43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393</v>
      </c>
      <c r="C29" s="272">
        <v>0.6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0.8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394</v>
      </c>
      <c r="C30" s="272">
        <v>0.2</v>
      </c>
      <c r="D30" s="33" t="s">
        <v>237</v>
      </c>
      <c r="E30" s="33" t="s">
        <v>103</v>
      </c>
      <c r="F30" s="33" t="s">
        <v>225</v>
      </c>
      <c r="G30" s="16"/>
      <c r="H30" s="8"/>
      <c r="I30" s="44" t="s">
        <v>212</v>
      </c>
      <c r="J30" s="45">
        <f>SUMIF(E29:E32,"NF",C29:C32)</f>
        <v>0.2</v>
      </c>
      <c r="L30" s="65"/>
      <c r="M30" s="65"/>
    </row>
    <row r="31" spans="1:17" ht="15" thickBot="1" x14ac:dyDescent="0.35">
      <c r="A31" s="8" t="s">
        <v>194</v>
      </c>
      <c r="B31" s="86" t="s">
        <v>328</v>
      </c>
      <c r="C31" s="272">
        <v>0.2</v>
      </c>
      <c r="D31" s="33" t="s">
        <v>237</v>
      </c>
      <c r="E31" s="33" t="s">
        <v>197</v>
      </c>
      <c r="F31" s="33"/>
      <c r="G31" s="35"/>
      <c r="H31" s="8" t="s">
        <v>225</v>
      </c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38"/>
      <c r="C32" s="275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0.8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1/3*(SUMIFS(C29:C37,E29:E37,"NF",H29:H37,"OUI"))</f>
        <v>6.6666666666666666E-2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4" workbookViewId="0">
      <selection activeCell="R2" sqref="R2"/>
    </sheetView>
  </sheetViews>
  <sheetFormatPr baseColWidth="10" defaultRowHeight="14.4" x14ac:dyDescent="0.3"/>
  <cols>
    <col min="4" max="4" width="17" customWidth="1"/>
    <col min="7" max="7" width="13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x14ac:dyDescent="0.3">
      <c r="A2" s="51" t="s">
        <v>276</v>
      </c>
      <c r="B2" s="52" t="s">
        <v>36</v>
      </c>
      <c r="C2" s="53" t="s">
        <v>220</v>
      </c>
      <c r="D2" s="54">
        <f>SUM(Table_35456781029[[#This Row],[Fixe]:[Retraite ]])</f>
        <v>10718747</v>
      </c>
      <c r="E2" s="55">
        <v>1400000</v>
      </c>
      <c r="F2" s="55">
        <v>2337300</v>
      </c>
      <c r="G2" s="56"/>
      <c r="H2" s="55">
        <v>6967950</v>
      </c>
      <c r="I2" s="55">
        <v>13497</v>
      </c>
      <c r="J2" s="57"/>
      <c r="K2" s="58">
        <f>((J11*J7)*F2+(J24*J20)*G2+(J33*J29)*H2)/((J7*F2)+(J20*G2)+(J29*H2))</f>
        <v>0.11490303074994469</v>
      </c>
      <c r="L2" s="59">
        <f>1-K2</f>
        <v>0.88509696925005532</v>
      </c>
      <c r="M2" s="59">
        <f>(J7*F2+J20*G2+J29*H2)
/(F2+G2+H2)</f>
        <v>0.87440960747964858</v>
      </c>
      <c r="N2" s="60">
        <f>(J7*F2+J20*G2+J29*H2)/D2</f>
        <v>0.75909992091426359</v>
      </c>
      <c r="O2" s="61">
        <f>(F2*J10+G2*J23+H2*J32)/D2</f>
        <v>0.49866136405682493</v>
      </c>
      <c r="P2" s="62">
        <f>(J8*F2+J21*G2+J30*H2)/D2</f>
        <v>0.10902860194386527</v>
      </c>
      <c r="Q2" s="62">
        <f>(J9*F2+J22*G2+J31*H2)/D2</f>
        <v>0.10902860194386527</v>
      </c>
      <c r="R2" s="62">
        <f>(J13*F2+J26*G2+J35*H2)/(F2+G2+H2)</f>
        <v>0</v>
      </c>
      <c r="S2" s="62">
        <f>(J13*F2+J26*G2+J35*H2)/D2</f>
        <v>0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72" t="s">
        <v>277</v>
      </c>
      <c r="C7" s="10">
        <v>0.1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0.5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72" t="s">
        <v>278</v>
      </c>
      <c r="C8" s="10">
        <v>0.1</v>
      </c>
      <c r="D8" s="11" t="s">
        <v>191</v>
      </c>
      <c r="E8" s="11" t="s">
        <v>103</v>
      </c>
      <c r="F8" s="14" t="s">
        <v>225</v>
      </c>
      <c r="G8" s="13"/>
      <c r="H8" s="8"/>
      <c r="I8" s="44" t="s">
        <v>212</v>
      </c>
      <c r="J8" s="45">
        <f>SUMIF(E7:E17,"NF",C7:C17)</f>
        <v>0.5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72" t="s">
        <v>279</v>
      </c>
      <c r="C9" s="10">
        <v>0.1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0.5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77" t="s">
        <v>280</v>
      </c>
      <c r="C10" s="10">
        <v>0.1</v>
      </c>
      <c r="D10" s="11" t="s">
        <v>286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0.2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77" t="s">
        <v>281</v>
      </c>
      <c r="C11" s="10">
        <v>0.1</v>
      </c>
      <c r="D11" s="11" t="s">
        <v>191</v>
      </c>
      <c r="E11" s="11" t="s">
        <v>103</v>
      </c>
      <c r="F11" s="11" t="s">
        <v>225</v>
      </c>
      <c r="G11" s="16"/>
      <c r="H11" s="20"/>
      <c r="I11" s="44" t="s">
        <v>239</v>
      </c>
      <c r="J11" s="45">
        <f>SUMIFS(C7:C17,D7:D17,"CT",E7:E17,"F")/J7</f>
        <v>0.8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72" t="s">
        <v>282</v>
      </c>
      <c r="C12" s="18">
        <v>0.15</v>
      </c>
      <c r="D12" s="19" t="s">
        <v>196</v>
      </c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0.19999999999999996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8" t="s">
        <v>283</v>
      </c>
      <c r="C13" s="18">
        <v>7.4999999999999997E-2</v>
      </c>
      <c r="D13" s="19" t="s">
        <v>196</v>
      </c>
      <c r="E13" s="19" t="s">
        <v>197</v>
      </c>
      <c r="F13" s="19"/>
      <c r="G13" s="20" t="s">
        <v>225</v>
      </c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8" t="s">
        <v>284</v>
      </c>
      <c r="C14" s="18">
        <v>0.15</v>
      </c>
      <c r="D14" s="19" t="s">
        <v>196</v>
      </c>
      <c r="E14" s="19" t="s">
        <v>197</v>
      </c>
      <c r="F14" s="19"/>
      <c r="G14" s="20" t="s">
        <v>225</v>
      </c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8" t="s">
        <v>285</v>
      </c>
      <c r="C15" s="22">
        <v>0.125</v>
      </c>
      <c r="D15" s="23" t="s">
        <v>196</v>
      </c>
      <c r="E15" s="23" t="s">
        <v>197</v>
      </c>
      <c r="F15" s="23"/>
      <c r="G15" s="24" t="s">
        <v>225</v>
      </c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287</v>
      </c>
      <c r="C29" s="32">
        <v>0.5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1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288</v>
      </c>
      <c r="C30" s="32">
        <v>0.3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SUMIF(E29:E32,"NF",C29:C32)</f>
        <v>0</v>
      </c>
      <c r="L30" s="65"/>
      <c r="M30" s="65"/>
    </row>
    <row r="31" spans="1:17" ht="15" thickBot="1" x14ac:dyDescent="0.35">
      <c r="A31" s="8" t="s">
        <v>194</v>
      </c>
      <c r="B31" s="17" t="s">
        <v>289</v>
      </c>
      <c r="C31" s="78">
        <v>0.2</v>
      </c>
      <c r="D31" s="33" t="s">
        <v>237</v>
      </c>
      <c r="E31" s="33" t="s">
        <v>103</v>
      </c>
      <c r="F31" s="33" t="s">
        <v>225</v>
      </c>
      <c r="G31" s="35"/>
      <c r="H31" s="8"/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38"/>
      <c r="C32" s="38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0.7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9" workbookViewId="0">
      <selection activeCell="R2" sqref="R2"/>
    </sheetView>
  </sheetViews>
  <sheetFormatPr baseColWidth="10" defaultColWidth="10.88671875" defaultRowHeight="14.4" x14ac:dyDescent="0.3"/>
  <cols>
    <col min="4" max="4" width="17" customWidth="1"/>
    <col min="5" max="5" width="14.88671875" bestFit="1" customWidth="1"/>
    <col min="6" max="6" width="14.109375" bestFit="1" customWidth="1"/>
    <col min="7" max="7" width="13.77734375" bestFit="1" customWidth="1"/>
    <col min="8" max="8" width="15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343</v>
      </c>
      <c r="B2" s="52" t="s">
        <v>20</v>
      </c>
      <c r="C2" s="53" t="s">
        <v>220</v>
      </c>
      <c r="D2" s="54">
        <f>SUM(Table_354567810111415161737[[#This Row],[Fixe]:[Retraite ]])</f>
        <v>6488038</v>
      </c>
      <c r="E2" s="55">
        <v>1000000</v>
      </c>
      <c r="F2" s="55">
        <v>1493700</v>
      </c>
      <c r="G2" s="56"/>
      <c r="H2" s="55">
        <v>3457692</v>
      </c>
      <c r="I2" s="55">
        <v>58853</v>
      </c>
      <c r="J2" s="55">
        <f>191600+286193</f>
        <v>477793</v>
      </c>
      <c r="K2" s="58">
        <f>((J11*J7)*F2+(J24*J20)*G2+(J33*J29)*H2)/((J7*F2)+(J20*G2)+(J29*H2))</f>
        <v>0.31544027565387417</v>
      </c>
      <c r="L2" s="59">
        <f>1-K2</f>
        <v>0.68455972434612589</v>
      </c>
      <c r="M2" s="59">
        <f>(J7*F2+J20*G2+J29*H2)
/(F2+G2+H2)</f>
        <v>0.76508363708629812</v>
      </c>
      <c r="N2" s="60">
        <f>(J7*F2+J20*G2+J29*H2)/D2</f>
        <v>0.58387897851399762</v>
      </c>
      <c r="O2" s="61">
        <f>(F2*J10+G2*J23+H2*J32)/D2</f>
        <v>0.39970003258303977</v>
      </c>
      <c r="P2" s="62">
        <f>(J8*F2+J21*G2+J30*H2)/D2</f>
        <v>0.17927808067708606</v>
      </c>
      <c r="Q2" s="62">
        <f>(J9*F2+J22*G2+J31*H2)/D2</f>
        <v>0.17927808067708606</v>
      </c>
      <c r="R2" s="62">
        <f>(J13*F2+J26*G2+J35*H2)/(F2+G2+H2)</f>
        <v>6.0334548345192626E-2</v>
      </c>
      <c r="S2" s="62">
        <f>(J13*F2+J26*G2+J35*H2)/D2</f>
        <v>4.6044736482739469E-2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58.2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344</v>
      </c>
      <c r="C7" s="19">
        <v>0.4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0.79999999999999993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345</v>
      </c>
      <c r="C8" s="19">
        <v>0.3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0.2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346</v>
      </c>
      <c r="C9" s="19">
        <v>0.1</v>
      </c>
      <c r="D9" s="11" t="s">
        <v>191</v>
      </c>
      <c r="E9" s="11" t="s">
        <v>103</v>
      </c>
      <c r="F9" s="11"/>
      <c r="G9" s="298"/>
      <c r="H9" s="299"/>
      <c r="I9" s="44" t="s">
        <v>213</v>
      </c>
      <c r="J9" s="45">
        <f>SUMIFS(C7:C17,E7:E17,"NF",G7:G17,"OUI")</f>
        <v>0.2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347</v>
      </c>
      <c r="C10" s="19">
        <v>0.2</v>
      </c>
      <c r="D10" s="287" t="s">
        <v>237</v>
      </c>
      <c r="E10" s="11" t="s">
        <v>197</v>
      </c>
      <c r="F10" s="11"/>
      <c r="G10" s="298" t="s">
        <v>728</v>
      </c>
      <c r="H10" s="298" t="s">
        <v>728</v>
      </c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/>
      <c r="C11" s="19"/>
      <c r="D11" s="11"/>
      <c r="E11" s="11"/>
      <c r="F11" s="11"/>
      <c r="G11" s="298"/>
      <c r="H11" s="30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/>
      <c r="C12" s="19"/>
      <c r="D12" s="19"/>
      <c r="E12" s="19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/>
      <c r="C13" s="19"/>
      <c r="D13" s="19"/>
      <c r="E13" s="19"/>
      <c r="F13" s="19"/>
      <c r="G13" s="20"/>
      <c r="H13" s="20"/>
      <c r="I13" s="44" t="s">
        <v>687</v>
      </c>
      <c r="J13" s="45">
        <f>(SUMIFS(C7:C17,E7:E17,"NF",H7:H17,"OUI"))</f>
        <v>0.2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58.2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65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5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58.2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348</v>
      </c>
      <c r="C29" s="78">
        <v>0.4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0.75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349</v>
      </c>
      <c r="C30" s="78">
        <v>0.35</v>
      </c>
      <c r="D30" s="33" t="s">
        <v>237</v>
      </c>
      <c r="E30" s="33" t="s">
        <v>103</v>
      </c>
      <c r="F30" s="33" t="s">
        <v>225</v>
      </c>
      <c r="G30" s="298"/>
      <c r="H30" s="299"/>
      <c r="I30" s="44" t="s">
        <v>212</v>
      </c>
      <c r="J30" s="45">
        <f>SUMIF(E29:E32,"NF",C29:C32)</f>
        <v>0.25</v>
      </c>
      <c r="K30" s="65"/>
      <c r="L30" s="65"/>
      <c r="M30" s="65"/>
    </row>
    <row r="31" spans="1:17" ht="15" thickBot="1" x14ac:dyDescent="0.35">
      <c r="A31" s="8" t="s">
        <v>194</v>
      </c>
      <c r="B31" t="s">
        <v>350</v>
      </c>
      <c r="C31" s="78">
        <v>0.25</v>
      </c>
      <c r="D31" s="33"/>
      <c r="E31" s="33" t="s">
        <v>197</v>
      </c>
      <c r="F31" s="33"/>
      <c r="G31" s="298" t="s">
        <v>728</v>
      </c>
      <c r="H31" s="299"/>
      <c r="I31" s="44" t="s">
        <v>213</v>
      </c>
      <c r="J31" s="45">
        <f>SUMIFS(C29:C32,E29:E32,"NF",G29:G32,"OUI")</f>
        <v>0.25</v>
      </c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01"/>
      <c r="H32" s="299"/>
      <c r="I32" s="44" t="s">
        <v>214</v>
      </c>
      <c r="J32" s="45">
        <f>SUMIFS(C29:C32,E29:E32,"F",F29:F32,"oui")</f>
        <v>0.75</v>
      </c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9" workbookViewId="0">
      <selection activeCell="R2" sqref="R2"/>
    </sheetView>
  </sheetViews>
  <sheetFormatPr baseColWidth="10" defaultRowHeight="14.4" x14ac:dyDescent="0.3"/>
  <cols>
    <col min="2" max="2" width="27.33203125" customWidth="1"/>
    <col min="4" max="4" width="17" customWidth="1"/>
    <col min="7" max="7" width="13.77734375" bestFit="1" customWidth="1"/>
    <col min="8" max="8" width="14.44140625" bestFit="1" customWidth="1"/>
    <col min="9" max="9" width="17.6640625" bestFit="1" customWidth="1"/>
    <col min="10" max="10" width="12.44140625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573</v>
      </c>
      <c r="B2" s="52" t="s">
        <v>41</v>
      </c>
      <c r="C2" s="285" t="s">
        <v>220</v>
      </c>
      <c r="D2" s="292">
        <f>SUM(Table_35456781011141516171819202122232427282930313233343536373839[[#This Row],[Fixe]:[Retraite ]])</f>
        <v>2878292</v>
      </c>
      <c r="E2" s="241">
        <v>1300000</v>
      </c>
      <c r="F2" s="241">
        <v>1566513</v>
      </c>
      <c r="G2" s="242"/>
      <c r="H2" s="242"/>
      <c r="I2" s="241">
        <v>11779</v>
      </c>
      <c r="J2" s="55"/>
      <c r="K2" s="58">
        <f>((J11*J7)*F2+(J24*J20)*G2+(J33*J29)*H2)/((J7*F2)+(J20*G2)+(J29*H2))</f>
        <v>1</v>
      </c>
      <c r="L2" s="59">
        <f>1-K2</f>
        <v>0</v>
      </c>
      <c r="M2" s="59">
        <f>(J7*F2+J20*G2+J29*H2)
/(F2+G2+H2)</f>
        <v>0.60000000000000009</v>
      </c>
      <c r="N2" s="92">
        <f>(J7*F2+J20*G2+J29*H2)/D2</f>
        <v>0.32655053761049962</v>
      </c>
      <c r="O2" s="61">
        <f>(F2*J10+G2*J23+H2*J32)/D2</f>
        <v>0.10885017920349986</v>
      </c>
      <c r="P2" s="62">
        <f>(J8*F2+J21*G2+J30*H2)/D2</f>
        <v>0.21770035840699972</v>
      </c>
      <c r="Q2" s="62">
        <f>(J9*F2+J22*G2+J31*H2)/D2</f>
        <v>0.10885017920349986</v>
      </c>
      <c r="R2" s="62">
        <f>(J13*F2+J26*G2+J35*H2)/(F2+G2+H2)</f>
        <v>0.05</v>
      </c>
      <c r="S2" s="62">
        <f>(J13*F2+J26*G2+J35*H2)/D2</f>
        <v>2.7212544800874965E-2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574</v>
      </c>
      <c r="C7" s="87">
        <v>0.2</v>
      </c>
      <c r="D7" s="23" t="s">
        <v>191</v>
      </c>
      <c r="E7" s="11" t="s">
        <v>103</v>
      </c>
      <c r="F7" s="12" t="s">
        <v>225</v>
      </c>
      <c r="G7" s="13"/>
      <c r="H7" s="8"/>
      <c r="I7" s="44" t="s">
        <v>211</v>
      </c>
      <c r="J7" s="45">
        <f>SUMIF(E7:E17,"F",C7:C17)</f>
        <v>0.60000000000000009</v>
      </c>
      <c r="K7" s="65"/>
      <c r="L7" s="73" t="s">
        <v>470</v>
      </c>
      <c r="M7" s="99" t="s">
        <v>733</v>
      </c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575</v>
      </c>
      <c r="C8" s="87">
        <v>0.2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576</v>
      </c>
      <c r="C9" s="87">
        <v>0.2</v>
      </c>
      <c r="D9" s="23" t="s">
        <v>191</v>
      </c>
      <c r="E9" s="11" t="s">
        <v>103</v>
      </c>
      <c r="F9" s="11"/>
      <c r="G9" s="302"/>
      <c r="H9" s="8"/>
      <c r="I9" s="44" t="s">
        <v>213</v>
      </c>
      <c r="J9" s="45">
        <f>SUMIFS(C7:C17,E7:E17,"NF",G7:G17,"OUI")</f>
        <v>0.2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577</v>
      </c>
      <c r="C10" s="87">
        <v>0.2</v>
      </c>
      <c r="D10" s="23"/>
      <c r="E10" s="11" t="s">
        <v>197</v>
      </c>
      <c r="F10" s="11"/>
      <c r="G10" s="298" t="s">
        <v>225</v>
      </c>
      <c r="H10" s="8" t="s">
        <v>225</v>
      </c>
      <c r="I10" s="44" t="s">
        <v>214</v>
      </c>
      <c r="J10" s="45">
        <f>SUMIFS(C7:C17,E7:E17,"F",F7:F17,"oui")</f>
        <v>0.2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578</v>
      </c>
      <c r="C11" s="87">
        <v>0.2</v>
      </c>
      <c r="D11" s="23"/>
      <c r="E11" s="11" t="s">
        <v>197</v>
      </c>
      <c r="F11" s="11"/>
      <c r="G11" s="298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/>
      <c r="C12" s="88"/>
      <c r="D12" s="23"/>
      <c r="E12" s="11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C13" s="88"/>
      <c r="D13" s="23"/>
      <c r="E13" s="11"/>
      <c r="F13" s="19"/>
      <c r="G13" s="20"/>
      <c r="H13" s="20"/>
      <c r="I13" s="44" t="s">
        <v>687</v>
      </c>
      <c r="J13" s="45">
        <f>1/4*(SUMIFS(C7:C17,E7:E17,"NF",H7:H17,"OUI"))</f>
        <v>0.05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C14" s="88"/>
      <c r="D14" s="19"/>
      <c r="E14" s="11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11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11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/>
      <c r="C29" s="78"/>
      <c r="D29" s="33"/>
      <c r="E29" s="33"/>
      <c r="F29" s="34"/>
      <c r="G29" s="35"/>
      <c r="H29" s="8"/>
      <c r="I29" s="44" t="s">
        <v>211</v>
      </c>
      <c r="J29" s="45">
        <f>SUMIF(E29:E33,"F",C29:C33)</f>
        <v>0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/>
      <c r="C30" s="78"/>
      <c r="D30" s="33"/>
      <c r="E30" s="33"/>
      <c r="F30" s="33"/>
      <c r="G30" s="35"/>
      <c r="H30" s="8"/>
      <c r="I30" s="44" t="s">
        <v>212</v>
      </c>
      <c r="J30" s="45">
        <f>SUMIF(E29:E33,"NF",C29:C33)</f>
        <v>0</v>
      </c>
      <c r="K30" s="65"/>
      <c r="L30" s="65"/>
      <c r="M30" s="65"/>
    </row>
    <row r="31" spans="1:17" ht="15" thickBot="1" x14ac:dyDescent="0.35">
      <c r="A31" s="8" t="s">
        <v>194</v>
      </c>
      <c r="B31" s="17"/>
      <c r="C31" s="78"/>
      <c r="D31" s="33"/>
      <c r="E31" s="33"/>
      <c r="F31" s="33"/>
      <c r="G31" s="35"/>
      <c r="H31" s="8"/>
      <c r="I31" s="44" t="s">
        <v>213</v>
      </c>
      <c r="J31" s="45">
        <f>SUMIFS(C29:C33,E29:E33,"NF",G29:G33,"OUI")</f>
        <v>0</v>
      </c>
      <c r="K31" s="65"/>
      <c r="L31" s="65"/>
      <c r="M31" s="65"/>
    </row>
    <row r="32" spans="1:17" ht="15" thickBot="1" x14ac:dyDescent="0.35">
      <c r="A32" s="25" t="s">
        <v>198</v>
      </c>
      <c r="B32" s="17"/>
      <c r="C32" s="78"/>
      <c r="D32" s="33"/>
      <c r="E32" s="33"/>
      <c r="F32" s="33"/>
      <c r="G32" s="35"/>
      <c r="H32" s="8"/>
      <c r="I32" s="44" t="s">
        <v>214</v>
      </c>
      <c r="J32" s="45">
        <f>SUMIFS(C29:C33,E29:E33,"F",F29:F33,"oui")</f>
        <v>0</v>
      </c>
      <c r="L32" s="65"/>
      <c r="M32" s="65"/>
    </row>
    <row r="33" spans="1:13" ht="15" thickBot="1" x14ac:dyDescent="0.35">
      <c r="A33" s="25" t="s">
        <v>200</v>
      </c>
      <c r="B33" s="26"/>
      <c r="C33" s="91"/>
      <c r="D33" s="38"/>
      <c r="E33" s="38"/>
      <c r="F33" s="38"/>
      <c r="G33" s="39"/>
      <c r="H33" s="39"/>
      <c r="I33" s="44" t="s">
        <v>239</v>
      </c>
      <c r="J33" s="90"/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9"/>
      <c r="I34" s="44" t="s">
        <v>240</v>
      </c>
      <c r="J34" s="45"/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7" workbookViewId="0">
      <selection activeCell="R3" sqref="R3"/>
    </sheetView>
  </sheetViews>
  <sheetFormatPr baseColWidth="10" defaultRowHeight="14.4" x14ac:dyDescent="0.3"/>
  <cols>
    <col min="4" max="4" width="17" customWidth="1"/>
    <col min="6" max="6" width="18.109375" bestFit="1" customWidth="1"/>
    <col min="7" max="7" width="20.77734375" bestFit="1" customWidth="1"/>
    <col min="8" max="8" width="16.5546875" bestFit="1" customWidth="1"/>
    <col min="12" max="12" width="14" bestFit="1" customWidth="1"/>
    <col min="13" max="13" width="14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238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228</v>
      </c>
      <c r="B2" s="52" t="s">
        <v>6</v>
      </c>
      <c r="C2" s="53" t="s">
        <v>220</v>
      </c>
      <c r="D2" s="54">
        <f>SUM(Table_35445[[#This Row],[Fixe]:[Retraite ]])</f>
        <v>21951194</v>
      </c>
      <c r="E2" s="55">
        <v>2000000</v>
      </c>
      <c r="F2" s="55">
        <v>7480000</v>
      </c>
      <c r="G2" s="56"/>
      <c r="H2" s="55">
        <f>7502483+ 2584366</f>
        <v>10086849</v>
      </c>
      <c r="I2" s="55">
        <v>14345</v>
      </c>
      <c r="J2" s="57">
        <v>2370000</v>
      </c>
      <c r="K2" s="58">
        <f>((J11*J7)*F2+(J24*J20)*G2+(J33*J29)*H2)/((J7*F2)+(J20*G2)+(J29*H2))</f>
        <v>0.42580203199788424</v>
      </c>
      <c r="L2" s="59">
        <f>1-K2</f>
        <v>0.57419796800211576</v>
      </c>
      <c r="M2" s="59">
        <f>(J7*F2+J20*G2+J29*H2)
/(F2+G2+H2)</f>
        <v>0.79999999999999993</v>
      </c>
      <c r="N2" s="60">
        <f>(J7*F2+J20*G2+J29*H2)/D2</f>
        <v>0.64021479651630797</v>
      </c>
      <c r="O2" s="61">
        <f>(F2*J10+G2*J23+H2*J32)/D2</f>
        <v>0.18380501762227605</v>
      </c>
      <c r="P2" s="62">
        <f>(J8*F2+J21*G2+J30*H2)/D2</f>
        <v>0.16005369912907699</v>
      </c>
      <c r="Q2" s="62">
        <f>(J9*F2+J22*G2+J31*H2)/D2</f>
        <v>0.16005369912907699</v>
      </c>
      <c r="R2" s="62">
        <f>(J13*F2+J26*G2+J35*H2)/(F2+G2+H2)</f>
        <v>0.11483959360042316</v>
      </c>
      <c r="S2" s="62">
        <f>(J13*F2+J26*G2+J35*H2)/D2</f>
        <v>9.1902508811138026E-2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43.8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9" t="s">
        <v>229</v>
      </c>
      <c r="C7" s="10">
        <v>0.25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0.8</v>
      </c>
      <c r="K7" s="65"/>
      <c r="L7" s="65"/>
      <c r="M7" s="65"/>
      <c r="N7" s="30"/>
      <c r="O7" s="63"/>
      <c r="P7" s="30"/>
      <c r="Q7" s="30"/>
    </row>
    <row r="8" spans="1:24" ht="15" thickBot="1" x14ac:dyDescent="0.35">
      <c r="A8" s="8" t="s">
        <v>192</v>
      </c>
      <c r="B8" s="9" t="s">
        <v>230</v>
      </c>
      <c r="C8" s="10">
        <v>0.25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0.2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5" t="s">
        <v>231</v>
      </c>
      <c r="C9" s="10">
        <v>0.3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0.2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9" t="s">
        <v>232</v>
      </c>
      <c r="C10" s="10">
        <v>0.2</v>
      </c>
      <c r="D10" s="11" t="s">
        <v>191</v>
      </c>
      <c r="E10" s="11" t="s">
        <v>197</v>
      </c>
      <c r="F10" s="11"/>
      <c r="G10" s="16" t="s">
        <v>225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9"/>
      <c r="C11" s="10"/>
      <c r="D11" s="11"/>
      <c r="E11" s="11"/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7"/>
      <c r="C12" s="18"/>
      <c r="D12" s="19"/>
      <c r="E12" s="19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7"/>
      <c r="C13" s="18"/>
      <c r="D13" s="19"/>
      <c r="E13" s="19"/>
      <c r="F13" s="19"/>
      <c r="G13" s="20"/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7"/>
      <c r="C14" s="1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21"/>
      <c r="C15" s="22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43.8" thickBot="1" x14ac:dyDescent="0.35">
      <c r="A19" s="3" t="s">
        <v>238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36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J24" s="69"/>
      <c r="K24" s="46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6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43.8" thickBot="1" x14ac:dyDescent="0.35">
      <c r="A28" s="3" t="s">
        <v>209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9" t="s">
        <v>233</v>
      </c>
      <c r="C29" s="40">
        <v>0.4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0.8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41" t="s">
        <v>234</v>
      </c>
      <c r="C30" s="42">
        <v>0.4</v>
      </c>
      <c r="D30" s="11" t="s">
        <v>237</v>
      </c>
      <c r="E30" s="11" t="s">
        <v>103</v>
      </c>
      <c r="F30" s="12"/>
      <c r="G30" s="16"/>
      <c r="H30" s="8"/>
      <c r="I30" s="44" t="s">
        <v>212</v>
      </c>
      <c r="J30" s="45">
        <f>SUMIF(E29:E32,"NF",C29:C32)</f>
        <v>0.2</v>
      </c>
      <c r="K30" s="65"/>
      <c r="L30" s="65"/>
      <c r="M30" s="65"/>
    </row>
    <row r="31" spans="1:17" ht="15" thickBot="1" x14ac:dyDescent="0.35">
      <c r="A31" s="8" t="s">
        <v>194</v>
      </c>
      <c r="B31" s="43" t="s">
        <v>235</v>
      </c>
      <c r="C31" s="40">
        <v>0.1</v>
      </c>
      <c r="D31" s="33" t="s">
        <v>237</v>
      </c>
      <c r="E31" s="33" t="s">
        <v>197</v>
      </c>
      <c r="F31" s="34"/>
      <c r="G31" s="35" t="s">
        <v>225</v>
      </c>
      <c r="H31" s="8" t="s">
        <v>225</v>
      </c>
      <c r="I31" s="44" t="s">
        <v>213</v>
      </c>
      <c r="J31" s="45">
        <f>SUMIFS(C29:C32,E29:E32,"NF",G29:G32,"OUI")</f>
        <v>0.2</v>
      </c>
      <c r="K31" s="65"/>
      <c r="L31" s="65"/>
      <c r="M31" s="65"/>
    </row>
    <row r="32" spans="1:17" ht="15" thickBot="1" x14ac:dyDescent="0.35">
      <c r="A32" s="25" t="s">
        <v>198</v>
      </c>
      <c r="B32" s="26" t="s">
        <v>236</v>
      </c>
      <c r="C32" s="67">
        <v>0.1</v>
      </c>
      <c r="D32" s="38" t="s">
        <v>237</v>
      </c>
      <c r="E32" s="38" t="s">
        <v>197</v>
      </c>
      <c r="F32" s="38"/>
      <c r="G32" s="39" t="s">
        <v>225</v>
      </c>
      <c r="H32" s="8" t="s">
        <v>225</v>
      </c>
      <c r="I32" s="44" t="s">
        <v>214</v>
      </c>
      <c r="J32" s="45">
        <f>SUMIFS(C29:C32,E29:E32,"F",F29:F32,"oui")</f>
        <v>0.4</v>
      </c>
      <c r="K32" s="65"/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45">
        <f>SUMIFS(C29:C32,D29:D32,"CT",E29:E32,"F")/J29</f>
        <v>0</v>
      </c>
      <c r="K33" s="65"/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0.2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9" workbookViewId="0">
      <selection activeCell="R3" sqref="R3"/>
    </sheetView>
  </sheetViews>
  <sheetFormatPr baseColWidth="10" defaultRowHeight="14.4" x14ac:dyDescent="0.3"/>
  <cols>
    <col min="4" max="4" width="17" customWidth="1"/>
    <col min="5" max="6" width="14.77734375" bestFit="1" customWidth="1"/>
    <col min="7" max="7" width="13.77734375" bestFit="1" customWidth="1"/>
    <col min="8" max="8" width="14.77734375" bestFit="1" customWidth="1"/>
    <col min="9" max="10" width="13.109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678</v>
      </c>
      <c r="B2" s="52" t="s">
        <v>22</v>
      </c>
      <c r="C2" s="53" t="s">
        <v>220</v>
      </c>
      <c r="D2" s="54">
        <f>SUM(Table_354567810111415161718192054[[#This Row],[Fixe]:[Retraite ]])</f>
        <v>6773065.0669</v>
      </c>
      <c r="E2" s="55">
        <f t="shared" ref="E2:J2" si="0">E3*0.9383</f>
        <v>1173770.1381999999</v>
      </c>
      <c r="F2" s="55">
        <f t="shared" si="0"/>
        <v>2351920.2608000003</v>
      </c>
      <c r="G2" s="55">
        <f t="shared" si="0"/>
        <v>0</v>
      </c>
      <c r="H2" s="55">
        <f t="shared" si="0"/>
        <v>1917145.8196</v>
      </c>
      <c r="I2" s="55">
        <f t="shared" si="0"/>
        <v>905901.43929999997</v>
      </c>
      <c r="J2" s="55">
        <f t="shared" si="0"/>
        <v>424327.40899999999</v>
      </c>
      <c r="K2" s="58">
        <f>((J11*J7)*F2+(J24*J20)*G2+(J33*J29)*H2)/((J7*F2)+(J20*G2)+(J29*H2))</f>
        <v>0.58009859213643866</v>
      </c>
      <c r="L2" s="59">
        <f>1-K2</f>
        <v>0.41990140786356134</v>
      </c>
      <c r="M2" s="59">
        <f>(J7*F2+J20*G2+J29*H2)/(F2+G2+H2)</f>
        <v>0.71227740545273766</v>
      </c>
      <c r="N2" s="60">
        <f>(J7*F2+J20*G2+J29*H2)/D2</f>
        <v>0.44894878189105331</v>
      </c>
      <c r="O2" s="61">
        <f>(F2*J10+G2*J23+H2*J32)/D2</f>
        <v>0</v>
      </c>
      <c r="P2" s="62">
        <f>(J8*F2+J21*G2+J30*H2)/D2</f>
        <v>0.19843093531388975</v>
      </c>
      <c r="Q2" s="62">
        <f>(J9*F2+J22*G2+J31*H2)/D2</f>
        <v>3.472460750884921E-2</v>
      </c>
      <c r="R2" s="62">
        <f>(J13*F2+J26*G2+J35*H2)/(F2+G2+H2)</f>
        <v>0</v>
      </c>
      <c r="S2" s="62">
        <f>(J13*F2+J26*G2+J35*H2)/D2</f>
        <v>0</v>
      </c>
    </row>
    <row r="3" spans="1:24" x14ac:dyDescent="0.3">
      <c r="A3" s="79"/>
      <c r="B3" s="66" t="s">
        <v>750</v>
      </c>
      <c r="C3" s="79"/>
      <c r="D3" s="307">
        <v>7218443</v>
      </c>
      <c r="E3" s="306">
        <v>1250954</v>
      </c>
      <c r="F3" s="307">
        <v>2506576</v>
      </c>
      <c r="G3" s="307"/>
      <c r="H3" s="307">
        <v>2043212</v>
      </c>
      <c r="I3" s="307">
        <f>108023+857448</f>
        <v>965471</v>
      </c>
      <c r="J3" s="84">
        <v>452230</v>
      </c>
      <c r="K3" s="82"/>
      <c r="L3" s="82"/>
      <c r="M3" s="304"/>
      <c r="N3" s="80"/>
      <c r="O3" s="80"/>
      <c r="P3" s="80"/>
      <c r="Q3" s="80"/>
      <c r="R3" s="305"/>
      <c r="S3" s="80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58.2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379</v>
      </c>
      <c r="C7" s="19">
        <v>0.15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0.75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376</v>
      </c>
      <c r="C8" s="19">
        <v>0.2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0.30000000000000004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380</v>
      </c>
      <c r="C9" s="19">
        <v>0.2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381</v>
      </c>
      <c r="C10" s="19">
        <v>0.2</v>
      </c>
      <c r="D10" s="11" t="s">
        <v>191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382</v>
      </c>
      <c r="C11" s="19">
        <v>0.15</v>
      </c>
      <c r="D11" s="11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383</v>
      </c>
      <c r="C12" s="19">
        <v>0.05</v>
      </c>
      <c r="D12" s="19"/>
      <c r="E12" s="19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734</v>
      </c>
      <c r="C13" s="19">
        <v>0.1</v>
      </c>
      <c r="D13" s="19"/>
      <c r="E13" s="19" t="s">
        <v>197</v>
      </c>
      <c r="F13" s="19"/>
      <c r="G13" s="20" t="s">
        <v>225</v>
      </c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58.2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58.2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376</v>
      </c>
      <c r="C29" s="78">
        <v>0.33300000000000002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0.66600000000000004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377</v>
      </c>
      <c r="C30" s="78">
        <v>0.33300000000000002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SUMIF(E29:E32,"NF",C29:C32)</f>
        <v>0.33300000000000002</v>
      </c>
      <c r="K30" s="65"/>
      <c r="L30" s="65"/>
      <c r="M30" s="65"/>
    </row>
    <row r="31" spans="1:17" ht="15" thickBot="1" x14ac:dyDescent="0.35">
      <c r="A31" s="8" t="s">
        <v>194</v>
      </c>
      <c r="B31" s="86" t="s">
        <v>378</v>
      </c>
      <c r="C31" s="78">
        <v>0.33300000000000002</v>
      </c>
      <c r="D31" s="33"/>
      <c r="E31" s="33" t="s">
        <v>197</v>
      </c>
      <c r="F31" s="33"/>
      <c r="G31" s="35"/>
      <c r="H31" s="8"/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ignoredErrors>
    <ignoredError sqref="K2 I2 M2 D3 S2" calculatedColumn="1"/>
  </ignoredErrors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opLeftCell="K1" zoomScale="73" workbookViewId="0">
      <selection activeCell="R2" sqref="R2:S2"/>
    </sheetView>
  </sheetViews>
  <sheetFormatPr baseColWidth="10" defaultRowHeight="14.4" x14ac:dyDescent="0.3"/>
  <cols>
    <col min="4" max="4" width="17" customWidth="1"/>
    <col min="8" max="8" width="12" bestFit="1" customWidth="1"/>
  </cols>
  <sheetData>
    <row r="1" spans="1:19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19" ht="27.6" x14ac:dyDescent="0.3">
      <c r="A2" s="51" t="s">
        <v>219</v>
      </c>
      <c r="B2" s="52" t="s">
        <v>3</v>
      </c>
      <c r="C2" s="53" t="s">
        <v>220</v>
      </c>
      <c r="D2" s="54">
        <f>SUM(Table_3556[[#This Row],[Fixe]:[Retraite ]])</f>
        <v>19717238</v>
      </c>
      <c r="E2" s="55">
        <v>2492877</v>
      </c>
      <c r="F2" s="55">
        <v>2492877</v>
      </c>
      <c r="G2" s="56">
        <v>0</v>
      </c>
      <c r="H2" s="55">
        <v>14664250</v>
      </c>
      <c r="I2" s="55">
        <v>67234</v>
      </c>
      <c r="J2" s="57">
        <v>0</v>
      </c>
      <c r="K2" s="58">
        <f>((J11*J7)*F2+(J24*J20)*G2+(J33*J29)*H2)/((J7*F2)+(J20*G2)+(J29*H2))</f>
        <v>0.97241422715140147</v>
      </c>
      <c r="L2" s="59">
        <f>1-K2</f>
        <v>2.7585772848598533E-2</v>
      </c>
      <c r="M2" s="59">
        <f>(J7*F2+J20*G2+J29*H2)
/(F2+G2+H2)</f>
        <v>0.84273515606663052</v>
      </c>
      <c r="N2" s="60">
        <f>(J7*F2+J20*G2+J29*H2)/D2</f>
        <v>0.73331336265251756</v>
      </c>
      <c r="O2" s="61">
        <f>(F2*J10+G2*J23+H2*J32)/D2</f>
        <v>0.11155910883664334</v>
      </c>
      <c r="P2" s="62">
        <f>(J8*F2+J21*G2+J30*H2)/D2</f>
        <v>0.13684537864786131</v>
      </c>
      <c r="Q2" s="62">
        <f>(J9*F2+J22*G2+J31*H2)/D2</f>
        <v>0.11788067628944784</v>
      </c>
      <c r="R2" s="62">
        <f>(J13*F2+J26*G2+J35*H2)/(F2+G2+H2)</f>
        <v>0.27350234686728148</v>
      </c>
      <c r="S2" s="62">
        <f>(J13*F2+J26*G2+J35*H2)/D2</f>
        <v>0.23799045789273326</v>
      </c>
    </row>
    <row r="3" spans="1:19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97"/>
      <c r="N3" s="63"/>
      <c r="O3" s="63"/>
      <c r="P3" s="63"/>
      <c r="Q3" s="63"/>
      <c r="R3" s="308"/>
      <c r="S3" s="95"/>
    </row>
    <row r="4" spans="1:19" x14ac:dyDescent="0.3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9" ht="15" thickBot="1" x14ac:dyDescent="0.3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9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102"/>
      <c r="N6" s="64"/>
      <c r="O6" s="64"/>
      <c r="P6" s="64"/>
      <c r="Q6" s="64"/>
    </row>
    <row r="7" spans="1:19" ht="15" thickBot="1" x14ac:dyDescent="0.35">
      <c r="A7" s="8" t="s">
        <v>189</v>
      </c>
      <c r="B7" s="9" t="s">
        <v>190</v>
      </c>
      <c r="C7" s="10">
        <v>0.4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0.8</v>
      </c>
      <c r="K7" s="65"/>
      <c r="L7" s="65"/>
      <c r="M7" s="65"/>
      <c r="N7" s="30"/>
      <c r="O7" s="63"/>
      <c r="P7" s="30"/>
      <c r="Q7" s="30"/>
    </row>
    <row r="8" spans="1:19" ht="15" thickBot="1" x14ac:dyDescent="0.35">
      <c r="A8" s="8" t="s">
        <v>192</v>
      </c>
      <c r="B8" s="9" t="s">
        <v>193</v>
      </c>
      <c r="C8" s="10">
        <v>0.4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0.2</v>
      </c>
      <c r="K8" s="65"/>
      <c r="L8" s="65"/>
      <c r="M8" s="65"/>
      <c r="N8" s="30"/>
      <c r="O8" s="63"/>
      <c r="P8" s="30"/>
      <c r="Q8" s="30"/>
    </row>
    <row r="9" spans="1:19" ht="43.8" thickBot="1" x14ac:dyDescent="0.35">
      <c r="A9" s="8" t="s">
        <v>194</v>
      </c>
      <c r="B9" s="15" t="s">
        <v>195</v>
      </c>
      <c r="C9" s="10">
        <v>0.15</v>
      </c>
      <c r="D9" s="11" t="s">
        <v>196</v>
      </c>
      <c r="E9" s="11" t="s">
        <v>197</v>
      </c>
      <c r="F9" s="11"/>
      <c r="G9" s="16"/>
      <c r="H9" s="8"/>
      <c r="I9" s="44" t="s">
        <v>213</v>
      </c>
      <c r="J9" s="45">
        <f>SUMIFS(C7:C17,E7:E17,"NF",G7:G17,"OUI")</f>
        <v>0.05</v>
      </c>
      <c r="K9" s="65"/>
      <c r="L9" s="65"/>
      <c r="M9" s="65"/>
      <c r="N9" s="30"/>
      <c r="O9" s="63"/>
      <c r="P9" s="30"/>
      <c r="Q9" s="30"/>
    </row>
    <row r="10" spans="1:19" ht="15" thickBot="1" x14ac:dyDescent="0.35">
      <c r="A10" s="8" t="s">
        <v>198</v>
      </c>
      <c r="B10" s="9" t="s">
        <v>201</v>
      </c>
      <c r="C10" s="10">
        <v>0.05</v>
      </c>
      <c r="D10" s="11" t="s">
        <v>196</v>
      </c>
      <c r="E10" s="11" t="s">
        <v>197</v>
      </c>
      <c r="F10" s="11"/>
      <c r="G10" s="16" t="s">
        <v>199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19" ht="15" thickBot="1" x14ac:dyDescent="0.35">
      <c r="A11" s="8" t="s">
        <v>200</v>
      </c>
      <c r="B11" s="9"/>
      <c r="C11" s="10"/>
      <c r="D11" s="11"/>
      <c r="E11" s="11"/>
      <c r="F11" s="11"/>
      <c r="G11" s="16"/>
      <c r="H11" s="20"/>
      <c r="I11" s="44" t="s">
        <v>222</v>
      </c>
      <c r="J11" s="45">
        <f>SUMIF(D7:D17,"CT",C7:C17)</f>
        <v>0.8</v>
      </c>
      <c r="K11" s="47"/>
      <c r="L11" s="47"/>
      <c r="M11" s="47"/>
      <c r="N11" s="30"/>
      <c r="O11" s="63"/>
      <c r="P11" s="30"/>
      <c r="Q11" s="30"/>
    </row>
    <row r="12" spans="1:19" ht="15" thickBot="1" x14ac:dyDescent="0.35">
      <c r="A12" s="8" t="s">
        <v>202</v>
      </c>
      <c r="B12" s="17"/>
      <c r="C12" s="18"/>
      <c r="D12" s="19"/>
      <c r="E12" s="19"/>
      <c r="F12" s="19"/>
      <c r="G12" s="20"/>
      <c r="H12" s="20"/>
      <c r="I12" s="44" t="s">
        <v>223</v>
      </c>
      <c r="J12" s="45">
        <f>SUMIF(D7:D17,"LT",C7:C17)</f>
        <v>0</v>
      </c>
      <c r="K12" s="46"/>
      <c r="L12" s="46"/>
      <c r="M12" s="46"/>
      <c r="N12" s="30"/>
      <c r="O12" s="63"/>
      <c r="P12" s="30"/>
      <c r="Q12" s="30"/>
    </row>
    <row r="13" spans="1:19" ht="15" thickBot="1" x14ac:dyDescent="0.35">
      <c r="A13" s="8" t="s">
        <v>203</v>
      </c>
      <c r="B13" s="17"/>
      <c r="C13" s="18"/>
      <c r="D13" s="19"/>
      <c r="E13" s="19"/>
      <c r="F13" s="19"/>
      <c r="G13" s="20"/>
      <c r="H13" s="20"/>
      <c r="I13" s="44" t="s">
        <v>239</v>
      </c>
      <c r="J13" s="45">
        <f>SUMIFS(C7:C17,D7:D17,"CT",E7:E17,"F")/J7</f>
        <v>1</v>
      </c>
      <c r="K13" s="46"/>
      <c r="L13" s="46"/>
      <c r="M13" s="46"/>
      <c r="N13" s="30"/>
      <c r="O13" s="63"/>
      <c r="P13" s="30"/>
      <c r="Q13" s="30"/>
    </row>
    <row r="14" spans="1:19" ht="15" thickBot="1" x14ac:dyDescent="0.35">
      <c r="A14" s="8" t="s">
        <v>204</v>
      </c>
      <c r="B14" s="17"/>
      <c r="C14" s="18"/>
      <c r="D14" s="19"/>
      <c r="E14" s="19"/>
      <c r="F14" s="19"/>
      <c r="G14" s="20"/>
      <c r="H14" s="20"/>
      <c r="I14" s="44" t="s">
        <v>237</v>
      </c>
      <c r="J14" s="45">
        <f>1-J13</f>
        <v>0</v>
      </c>
      <c r="K14" s="46"/>
      <c r="L14" s="46"/>
      <c r="M14" s="46"/>
      <c r="N14" s="30"/>
      <c r="O14" s="63"/>
      <c r="P14" s="30"/>
      <c r="Q14" s="30"/>
    </row>
    <row r="15" spans="1:19" ht="15" thickBot="1" x14ac:dyDescent="0.35">
      <c r="A15" s="8" t="s">
        <v>205</v>
      </c>
      <c r="B15" s="21"/>
      <c r="C15" s="22"/>
      <c r="D15" s="23"/>
      <c r="E15" s="23"/>
      <c r="F15" s="23"/>
      <c r="G15" s="24"/>
      <c r="H15" s="24"/>
      <c r="I15" s="44" t="s">
        <v>687</v>
      </c>
      <c r="J15" s="45">
        <f>(SUMIFS(C9:C19,E9:E19,"NF",H9:H19,"OUI"))</f>
        <v>0</v>
      </c>
      <c r="K15" s="46"/>
      <c r="L15" s="46"/>
      <c r="M15" s="46"/>
      <c r="N15" s="30"/>
      <c r="O15" s="63"/>
      <c r="P15" s="30"/>
      <c r="Q15" s="30"/>
    </row>
    <row r="16" spans="1:19" x14ac:dyDescent="0.3">
      <c r="A16" s="8" t="s">
        <v>206</v>
      </c>
      <c r="B16" s="21"/>
      <c r="C16" s="22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36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J24" s="68"/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209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9" t="s">
        <v>190</v>
      </c>
      <c r="C29" s="40">
        <v>0.35</v>
      </c>
      <c r="D29" s="33" t="s">
        <v>191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0.85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41" t="s">
        <v>221</v>
      </c>
      <c r="C30" s="42">
        <v>0.35</v>
      </c>
      <c r="D30" s="11" t="s">
        <v>191</v>
      </c>
      <c r="E30" s="11" t="s">
        <v>103</v>
      </c>
      <c r="F30" s="12"/>
      <c r="G30" s="16"/>
      <c r="H30" s="8"/>
      <c r="I30" s="44" t="s">
        <v>212</v>
      </c>
      <c r="J30" s="45">
        <f>SUMIF(E29:E32,"NF",C29:C32)</f>
        <v>0.15</v>
      </c>
      <c r="K30" s="65"/>
      <c r="L30" s="65"/>
      <c r="M30" s="65"/>
    </row>
    <row r="31" spans="1:17" ht="15" thickBot="1" x14ac:dyDescent="0.35">
      <c r="A31" s="8" t="s">
        <v>194</v>
      </c>
      <c r="B31" s="43" t="s">
        <v>210</v>
      </c>
      <c r="C31" s="40">
        <v>0.15</v>
      </c>
      <c r="D31" s="33" t="s">
        <v>191</v>
      </c>
      <c r="E31" s="33" t="s">
        <v>103</v>
      </c>
      <c r="F31" s="34" t="s">
        <v>199</v>
      </c>
      <c r="G31" s="35"/>
      <c r="H31" s="8"/>
      <c r="I31" s="44" t="s">
        <v>213</v>
      </c>
      <c r="J31" s="45">
        <f>SUMIFS(C29:C32,E29:E32,"NF",G29:G32,"OUI")</f>
        <v>0.15</v>
      </c>
      <c r="L31" s="65"/>
      <c r="M31" s="65"/>
    </row>
    <row r="32" spans="1:17" ht="15" thickBot="1" x14ac:dyDescent="0.35">
      <c r="A32" s="25" t="s">
        <v>198</v>
      </c>
      <c r="B32" s="26" t="s">
        <v>224</v>
      </c>
      <c r="C32" s="67">
        <v>0.15</v>
      </c>
      <c r="D32" s="38" t="s">
        <v>191</v>
      </c>
      <c r="E32" s="38" t="s">
        <v>197</v>
      </c>
      <c r="F32" s="38"/>
      <c r="G32" s="39" t="s">
        <v>225</v>
      </c>
      <c r="H32" s="8" t="s">
        <v>225</v>
      </c>
      <c r="I32" s="44" t="s">
        <v>214</v>
      </c>
      <c r="J32" s="45">
        <f>SUMIFS(C29:C32,E29:E32,"F",F29:F32,"oui")</f>
        <v>0.15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45">
        <f>SUMIFS(C29:C32,D29:D32,"CT",E29:E32,"F")/J29</f>
        <v>1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237</v>
      </c>
      <c r="J34" s="45">
        <f>1-J33</f>
        <v>0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9" workbookViewId="0">
      <selection activeCell="J27" sqref="J27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583</v>
      </c>
      <c r="B2" s="52" t="s">
        <v>584</v>
      </c>
      <c r="C2" s="53" t="s">
        <v>220</v>
      </c>
      <c r="D2" s="54">
        <f>SUM(Table_3545678101114151617181920212223242728293031323334353637383940[[#This Row],[Fixe]:[Retraite ]])</f>
        <v>3140349</v>
      </c>
      <c r="E2" s="55">
        <v>850000</v>
      </c>
      <c r="F2" s="55">
        <v>1119603</v>
      </c>
      <c r="G2" s="56"/>
      <c r="H2" s="56">
        <v>849879</v>
      </c>
      <c r="I2" s="55">
        <v>50200</v>
      </c>
      <c r="J2" s="55">
        <v>270667</v>
      </c>
      <c r="K2" s="58">
        <f>((J11*J7)*F2+(J24*J20)*G2+(J33*J29)*H2)/((J7*F2)+(J20*G2)+(J29*H2))</f>
        <v>0.62924232485445608</v>
      </c>
      <c r="L2" s="59">
        <f>1-K2</f>
        <v>0.37075767514554392</v>
      </c>
      <c r="M2" s="59">
        <f>(J7*F2+J20*G2+J29*H2)
/(F2+G2+H2)</f>
        <v>0.81472861899727955</v>
      </c>
      <c r="N2" s="92">
        <f>(J7*F2+J20*G2+J29*H2)/D2</f>
        <v>0.51096019900972789</v>
      </c>
      <c r="O2" s="61">
        <f>(F2*J10+G2*J23+H2*J32)/D2</f>
        <v>5.4126404421928904E-2</v>
      </c>
      <c r="P2" s="62">
        <f>(J8*F2+J21*G2+J30*H2)/D2</f>
        <v>0.11619366191464707</v>
      </c>
      <c r="Q2" s="62">
        <f>(J9*F2+J22*G2+J31*H2)/D2</f>
        <v>6.27153860924375E-2</v>
      </c>
      <c r="R2" s="62">
        <f>(J13*F2+J26*G2+J35*H2)/(F2+G2+H2)</f>
        <v>5.736430949863975E-2</v>
      </c>
      <c r="S2" s="62">
        <f>(J13*F2+J26*G2+J35*H2)/D2</f>
        <v>3.5976248181332715E-2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533</v>
      </c>
      <c r="C7" s="87">
        <v>0.35</v>
      </c>
      <c r="D7" s="23" t="s">
        <v>191</v>
      </c>
      <c r="E7" s="23" t="s">
        <v>103</v>
      </c>
      <c r="F7" s="12"/>
      <c r="G7" s="13"/>
      <c r="H7" s="8"/>
      <c r="I7" s="44" t="s">
        <v>211</v>
      </c>
      <c r="J7" s="45">
        <f>SUMIF(E7:E17,"F",C7:C17)</f>
        <v>0.75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585</v>
      </c>
      <c r="C8" s="87">
        <v>0.2</v>
      </c>
      <c r="D8" s="23" t="s">
        <v>191</v>
      </c>
      <c r="E8" s="23" t="s">
        <v>103</v>
      </c>
      <c r="F8" s="14"/>
      <c r="G8" s="13"/>
      <c r="H8" s="8"/>
      <c r="I8" s="44" t="s">
        <v>212</v>
      </c>
      <c r="J8" s="45">
        <f>SUMIF(E7:E17,"NF",C7:C17)</f>
        <v>0.25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586</v>
      </c>
      <c r="C9" s="87">
        <v>0.2</v>
      </c>
      <c r="D9" s="23" t="s">
        <v>191</v>
      </c>
      <c r="E9" s="23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322</v>
      </c>
      <c r="C10" s="87">
        <v>0.05</v>
      </c>
      <c r="D10" s="23"/>
      <c r="E10" s="23" t="s">
        <v>197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587</v>
      </c>
      <c r="C11" s="87">
        <v>0.05</v>
      </c>
      <c r="D11" s="23"/>
      <c r="E11" s="23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588</v>
      </c>
      <c r="C12" s="88">
        <v>0.05</v>
      </c>
      <c r="D12" s="23"/>
      <c r="E12" s="23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93" t="s">
        <v>589</v>
      </c>
      <c r="C13" s="88">
        <v>2.5000000000000001E-2</v>
      </c>
      <c r="D13" s="23"/>
      <c r="E13" s="23" t="s">
        <v>197</v>
      </c>
      <c r="F13" s="19"/>
      <c r="G13" s="20" t="s">
        <v>225</v>
      </c>
      <c r="H13" s="20"/>
      <c r="I13" s="44" t="s">
        <v>687</v>
      </c>
      <c r="J13" s="45">
        <f>(SUMIFS(C7:C17,E7:E17,"NF",H7:H17,"OUI"))</f>
        <v>2.5000000000000001E-2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93" t="s">
        <v>590</v>
      </c>
      <c r="C14" s="88">
        <v>2.5000000000000001E-2</v>
      </c>
      <c r="D14" s="19"/>
      <c r="E14" s="23" t="s">
        <v>197</v>
      </c>
      <c r="F14" s="19"/>
      <c r="G14" s="20" t="s">
        <v>225</v>
      </c>
      <c r="H14" s="20" t="s">
        <v>225</v>
      </c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591</v>
      </c>
      <c r="C15" s="88">
        <v>2.5000000000000001E-2</v>
      </c>
      <c r="D15" s="23"/>
      <c r="E15" s="23" t="s">
        <v>197</v>
      </c>
      <c r="F15" s="23"/>
      <c r="G15" s="24" t="s">
        <v>225</v>
      </c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 t="s">
        <v>592</v>
      </c>
      <c r="C16" s="88">
        <v>2.5000000000000001E-2</v>
      </c>
      <c r="D16" s="23"/>
      <c r="E16" s="23" t="s">
        <v>197</v>
      </c>
      <c r="F16" s="23"/>
      <c r="G16" s="24" t="s">
        <v>225</v>
      </c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279</v>
      </c>
      <c r="C29" s="78">
        <v>0.35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SUMIF(E29:E33,"F",C29:C33)</f>
        <v>0.89999999999999991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593</v>
      </c>
      <c r="C30" s="78">
        <v>0.35</v>
      </c>
      <c r="D30" s="33" t="s">
        <v>237</v>
      </c>
      <c r="E30" s="33" t="s">
        <v>103</v>
      </c>
      <c r="F30" s="33"/>
      <c r="G30" s="35"/>
      <c r="H30" s="8"/>
      <c r="I30" s="44" t="s">
        <v>212</v>
      </c>
      <c r="J30" s="45">
        <f>SUMIF(E29:E33,"NF",C29:C33)</f>
        <v>0.1</v>
      </c>
      <c r="L30" s="65"/>
      <c r="M30" s="65"/>
    </row>
    <row r="31" spans="1:17" ht="15" thickBot="1" x14ac:dyDescent="0.35">
      <c r="A31" s="8" t="s">
        <v>194</v>
      </c>
      <c r="B31" s="17" t="s">
        <v>596</v>
      </c>
      <c r="C31" s="78">
        <v>0.1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SUMIFS(C29:C33,E29:E33,"NF",G29:G33,"OUI")</f>
        <v>0.1</v>
      </c>
      <c r="L31" s="65"/>
      <c r="M31" s="65"/>
    </row>
    <row r="32" spans="1:17" ht="15" thickBot="1" x14ac:dyDescent="0.35">
      <c r="A32" s="25" t="s">
        <v>198</v>
      </c>
      <c r="B32" s="17" t="s">
        <v>594</v>
      </c>
      <c r="C32" s="78">
        <v>0.1</v>
      </c>
      <c r="D32" s="33" t="s">
        <v>191</v>
      </c>
      <c r="E32" s="33" t="s">
        <v>103</v>
      </c>
      <c r="F32" s="33" t="s">
        <v>225</v>
      </c>
      <c r="G32" s="35"/>
      <c r="H32" s="8"/>
      <c r="I32" s="44" t="s">
        <v>214</v>
      </c>
      <c r="J32" s="45">
        <f>SUMIFS(C29:C33,E29:E33,"F",F29:F33,"oui")</f>
        <v>0.2</v>
      </c>
      <c r="L32" s="65"/>
      <c r="M32" s="65"/>
    </row>
    <row r="33" spans="1:13" ht="15" thickBot="1" x14ac:dyDescent="0.35">
      <c r="A33" s="25" t="s">
        <v>200</v>
      </c>
      <c r="B33" s="26" t="s">
        <v>595</v>
      </c>
      <c r="C33" s="91">
        <v>0.1</v>
      </c>
      <c r="D33" s="38" t="s">
        <v>191</v>
      </c>
      <c r="E33" s="38" t="s">
        <v>103</v>
      </c>
      <c r="F33" s="38" t="s">
        <v>225</v>
      </c>
      <c r="G33" s="39"/>
      <c r="H33" s="39"/>
      <c r="I33" s="44" t="s">
        <v>239</v>
      </c>
      <c r="J33" s="70">
        <f>SUMIFS(C29:C33,D29:D33,"CT",E29:E33,"F")/J29</f>
        <v>0.22222222222222227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9"/>
      <c r="I34" s="44" t="s">
        <v>240</v>
      </c>
      <c r="J34" s="45">
        <f>1-J33</f>
        <v>0.77777777777777768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4" workbookViewId="0">
      <selection activeCell="B1" sqref="B1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3.886718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454</v>
      </c>
      <c r="B2" s="52" t="s">
        <v>35</v>
      </c>
      <c r="C2" s="53" t="s">
        <v>220</v>
      </c>
      <c r="D2" s="54">
        <f>SUM(Table_3545678101114151617181920212223242759[[#This Row],[Fixe]:[Retraite ]])</f>
        <v>7331079</v>
      </c>
      <c r="E2" s="55">
        <v>1550000</v>
      </c>
      <c r="F2" s="55">
        <v>2731875</v>
      </c>
      <c r="G2" s="56"/>
      <c r="H2" s="56">
        <v>2977600</v>
      </c>
      <c r="I2" s="55">
        <v>71604</v>
      </c>
      <c r="J2" s="55"/>
      <c r="K2" s="58">
        <f>((J11*J7)*F2+(J24*J20)*G2+(J33*J29)*H2)/((J7*F2)+(J20*G2)+(J29*H2))</f>
        <v>1</v>
      </c>
      <c r="L2" s="59">
        <f>1-K2</f>
        <v>0</v>
      </c>
      <c r="M2" s="59">
        <f>(J7*F2+J20*G2+J29*H2)
/(F2+G2+H2)</f>
        <v>0.65749175274434157</v>
      </c>
      <c r="N2" s="60">
        <f>(J7*F2+J20*G2+J29*H2)/D2</f>
        <v>0.51205732812318616</v>
      </c>
      <c r="O2" s="61">
        <f>(F2*J10+G2*J23+H2*J32)/D2</f>
        <v>0.26717264948311159</v>
      </c>
      <c r="P2" s="62">
        <f>(J8*F2+J21*G2+J30*H2)/D2</f>
        <v>0.26677666752738582</v>
      </c>
      <c r="Q2" s="62">
        <f>(J9*F2+J22*G2+J31*H2)/D2</f>
        <v>0.18396049544685034</v>
      </c>
      <c r="R2" s="62">
        <f>(J13*F2+J26*G2+J35*H2)/(F2+G2+H2)</f>
        <v>0.26279332162764524</v>
      </c>
      <c r="S2" s="62">
        <f>(J13*F2+J26*G2+J35*H2)/D2</f>
        <v>0.20466453846698418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455</v>
      </c>
      <c r="C7" s="87">
        <f>20%*0.5556</f>
        <v>0.11112</v>
      </c>
      <c r="D7" s="23"/>
      <c r="E7" s="11" t="s">
        <v>197</v>
      </c>
      <c r="F7" s="12"/>
      <c r="G7" s="13" t="s">
        <v>225</v>
      </c>
      <c r="H7" s="8"/>
      <c r="I7" s="44" t="s">
        <v>211</v>
      </c>
      <c r="J7" s="45">
        <f>SUMIF(E7:E17,"F",C7:C17)</f>
        <v>0.61116000000000004</v>
      </c>
      <c r="K7" s="65"/>
      <c r="L7" s="73" t="s">
        <v>470</v>
      </c>
      <c r="M7" s="74" t="s">
        <v>471</v>
      </c>
      <c r="O7" s="63"/>
      <c r="P7" s="30"/>
      <c r="Q7" s="30"/>
    </row>
    <row r="8" spans="1:24" ht="15" thickBot="1" x14ac:dyDescent="0.35">
      <c r="A8" s="8" t="s">
        <v>192</v>
      </c>
      <c r="B8" s="89" t="s">
        <v>456</v>
      </c>
      <c r="C8" s="87">
        <f>10%*0.5556</f>
        <v>5.5559999999999998E-2</v>
      </c>
      <c r="D8" s="23"/>
      <c r="E8" s="11" t="s">
        <v>197</v>
      </c>
      <c r="F8" s="14"/>
      <c r="G8" s="13" t="s">
        <v>225</v>
      </c>
      <c r="H8" s="8" t="s">
        <v>225</v>
      </c>
      <c r="I8" s="44" t="s">
        <v>212</v>
      </c>
      <c r="J8" s="45">
        <f>SUMIF(E7:E17,"NF",C7:C17)</f>
        <v>0.38892000000000004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457</v>
      </c>
      <c r="C9" s="87">
        <f>30%*0.5556</f>
        <v>0.16667999999999999</v>
      </c>
      <c r="D9" s="23" t="s">
        <v>191</v>
      </c>
      <c r="E9" s="11" t="s">
        <v>103</v>
      </c>
      <c r="F9" s="11" t="s">
        <v>225</v>
      </c>
      <c r="G9" s="16"/>
      <c r="H9" s="8"/>
      <c r="I9" s="44" t="s">
        <v>213</v>
      </c>
      <c r="J9" s="45">
        <f>SUMIFS(C7:C17,E7:E17,"NF",G7:G17,"OUI")</f>
        <v>0.16667999999999999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458</v>
      </c>
      <c r="C10" s="87">
        <f>30%*0.5556</f>
        <v>0.16667999999999999</v>
      </c>
      <c r="D10" s="23" t="s">
        <v>191</v>
      </c>
      <c r="E10" s="11" t="s">
        <v>103</v>
      </c>
      <c r="F10" s="11"/>
      <c r="G10" s="16"/>
      <c r="H10" s="8"/>
      <c r="I10" s="44" t="s">
        <v>214</v>
      </c>
      <c r="J10" s="45">
        <f>SUMIFS(C7:C17,E7:E17,"F",F7:F17,"oui")</f>
        <v>0.44447999999999999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459</v>
      </c>
      <c r="C11" s="87">
        <f>30%*0.5556</f>
        <v>0.16667999999999999</v>
      </c>
      <c r="D11" s="23" t="s">
        <v>191</v>
      </c>
      <c r="E11" s="11" t="s">
        <v>103</v>
      </c>
      <c r="F11" s="11" t="s">
        <v>225</v>
      </c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460</v>
      </c>
      <c r="C12" s="88">
        <f>20%*0.5556</f>
        <v>0.11112</v>
      </c>
      <c r="D12" s="23" t="s">
        <v>191</v>
      </c>
      <c r="E12" s="19" t="s">
        <v>103</v>
      </c>
      <c r="F12" s="19" t="s">
        <v>225</v>
      </c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461</v>
      </c>
      <c r="C13" s="87">
        <f>15%*0.5556</f>
        <v>8.3339999999999997E-2</v>
      </c>
      <c r="D13" s="23"/>
      <c r="E13" s="19" t="s">
        <v>197</v>
      </c>
      <c r="F13" s="19"/>
      <c r="G13" s="20"/>
      <c r="H13" s="20" t="s">
        <v>225</v>
      </c>
      <c r="I13" s="44" t="s">
        <v>687</v>
      </c>
      <c r="J13" s="45">
        <f>(SUMIFS(C7:C17,E7:E17,"NF",H7:H17,"OUI"))</f>
        <v>0.22223999999999999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462</v>
      </c>
      <c r="C14" s="88">
        <f>10%*0.5556</f>
        <v>5.5559999999999998E-2</v>
      </c>
      <c r="D14" s="19"/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463</v>
      </c>
      <c r="C15" s="19">
        <f>15%*0.5556</f>
        <v>8.3339999999999997E-2</v>
      </c>
      <c r="D15" s="23"/>
      <c r="E15" s="23" t="s">
        <v>197</v>
      </c>
      <c r="F15" s="23"/>
      <c r="G15" s="24"/>
      <c r="H15" s="24" t="s">
        <v>225</v>
      </c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464</v>
      </c>
      <c r="C29" s="78">
        <v>0.25</v>
      </c>
      <c r="D29" s="33" t="s">
        <v>191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SUMIF(E29:E33,"F",C29:C33)</f>
        <v>0.7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465</v>
      </c>
      <c r="C30" s="78">
        <v>0.25</v>
      </c>
      <c r="D30" s="33" t="s">
        <v>191</v>
      </c>
      <c r="E30" s="33" t="s">
        <v>103</v>
      </c>
      <c r="F30" s="33"/>
      <c r="G30" s="16"/>
      <c r="H30" s="8"/>
      <c r="I30" s="44" t="s">
        <v>212</v>
      </c>
      <c r="J30" s="45">
        <f>SUMIF(E29:E33,"NF",C29:C33)</f>
        <v>0.3</v>
      </c>
      <c r="L30" s="65"/>
      <c r="M30" s="65"/>
    </row>
    <row r="31" spans="1:17" ht="15" thickBot="1" x14ac:dyDescent="0.35">
      <c r="A31" s="8" t="s">
        <v>194</v>
      </c>
      <c r="B31" s="86" t="s">
        <v>466</v>
      </c>
      <c r="C31" s="78">
        <v>0.2</v>
      </c>
      <c r="D31" s="33" t="s">
        <v>191</v>
      </c>
      <c r="E31" s="33" t="s">
        <v>103</v>
      </c>
      <c r="F31" s="33"/>
      <c r="G31" s="35"/>
      <c r="H31" s="8"/>
      <c r="I31" s="44" t="s">
        <v>213</v>
      </c>
      <c r="J31" s="45">
        <f>SUMIFS(C29:C33,E29:E33,"NF",G29:G33,"OUI")</f>
        <v>0.3</v>
      </c>
      <c r="L31" s="65"/>
      <c r="M31" s="65"/>
    </row>
    <row r="32" spans="1:17" ht="15" thickBot="1" x14ac:dyDescent="0.35">
      <c r="A32" s="25" t="s">
        <v>198</v>
      </c>
      <c r="B32" s="38" t="s">
        <v>467</v>
      </c>
      <c r="C32" s="67">
        <v>0.15</v>
      </c>
      <c r="D32" s="38"/>
      <c r="E32" s="38" t="s">
        <v>197</v>
      </c>
      <c r="F32" s="38"/>
      <c r="G32" s="39" t="s">
        <v>225</v>
      </c>
      <c r="H32" s="8" t="s">
        <v>225</v>
      </c>
      <c r="I32" s="44" t="s">
        <v>214</v>
      </c>
      <c r="J32" s="45">
        <f>SUMIFS(C29:C33,E29:E33,"F",F29:F33,"oui")</f>
        <v>0.25</v>
      </c>
      <c r="L32" s="65"/>
      <c r="M32" s="65"/>
    </row>
    <row r="33" spans="1:13" ht="15" thickBot="1" x14ac:dyDescent="0.35">
      <c r="A33" s="25" t="s">
        <v>200</v>
      </c>
      <c r="B33" s="38" t="s">
        <v>468</v>
      </c>
      <c r="C33" s="67">
        <v>0.15</v>
      </c>
      <c r="D33" s="38"/>
      <c r="E33" s="38" t="s">
        <v>197</v>
      </c>
      <c r="F33" s="38"/>
      <c r="G33" s="39" t="s">
        <v>225</v>
      </c>
      <c r="H33" s="39" t="s">
        <v>225</v>
      </c>
      <c r="I33" s="44" t="s">
        <v>239</v>
      </c>
      <c r="J33" s="90">
        <f>SUMIFS(C29:C33,D29:D33,"CT",E29:E33,"F")/J29</f>
        <v>1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0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0.3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3" workbookViewId="0">
      <selection activeCell="B1" sqref="B1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612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41.4" x14ac:dyDescent="0.3">
      <c r="A2" s="51" t="s">
        <v>597</v>
      </c>
      <c r="B2" s="52" t="s">
        <v>57</v>
      </c>
      <c r="C2" s="53" t="s">
        <v>220</v>
      </c>
      <c r="D2" s="54">
        <f>SUM(Table_35456781011141516171819202122232427282930313233343536373839404160[[#This Row],[Fixe]:[Retraite ]])</f>
        <v>3838899</v>
      </c>
      <c r="E2" s="55">
        <v>1000000</v>
      </c>
      <c r="F2" s="55">
        <v>1256238</v>
      </c>
      <c r="G2" s="56">
        <v>79890</v>
      </c>
      <c r="H2" s="56">
        <v>1070122</v>
      </c>
      <c r="I2" s="55">
        <v>114402</v>
      </c>
      <c r="J2" s="55">
        <v>318247</v>
      </c>
      <c r="K2" s="58">
        <f>((J11*J7)*F2+(J24*J20)*G2+(J33*J29)*H2)/((J7*F2)+(J20*G2)+(J29*H2))</f>
        <v>0.47222222073054809</v>
      </c>
      <c r="L2" s="59">
        <f>1-K2</f>
        <v>0.52777777926945191</v>
      </c>
      <c r="M2" s="59">
        <f>(J7*F2+J20*G2+J29*H2)
/(F2+G2+H2)</f>
        <v>0.77389635324675332</v>
      </c>
      <c r="N2" s="92">
        <f>(J7*F2+J20*G2+J29*H2)/D2</f>
        <v>0.48508390035788912</v>
      </c>
      <c r="O2" s="61">
        <f>(F2*J10+G2*J23+H2*J32)/D2</f>
        <v>0.35418824511923858</v>
      </c>
      <c r="P2" s="62">
        <f>(J8*F2+J21*G2+J30*H2)/D2</f>
        <v>0.13964235579003251</v>
      </c>
      <c r="Q2" s="62">
        <f>(J9*F2+J22*G2+J31*H2)/D2</f>
        <v>9.0556485075538595E-2</v>
      </c>
      <c r="R2" s="62">
        <f>(J13*F2+J26*G2+J35*H2)/(F2+G2+H2)</f>
        <v>7.3896353246753255E-2</v>
      </c>
      <c r="S2" s="62">
        <f>(J13*F2+J26*G2+J35*H2)/D2</f>
        <v>4.6318775253008738E-2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613</v>
      </c>
      <c r="C7" s="87">
        <v>0.35</v>
      </c>
      <c r="D7" s="23" t="s">
        <v>191</v>
      </c>
      <c r="E7" s="23" t="s">
        <v>103</v>
      </c>
      <c r="F7" s="12" t="s">
        <v>225</v>
      </c>
      <c r="G7" s="13"/>
      <c r="H7" s="8"/>
      <c r="I7" s="44" t="s">
        <v>211</v>
      </c>
      <c r="J7" s="45">
        <f>SUMIF(E7:E17,"F",C7:C17)</f>
        <v>0.75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614</v>
      </c>
      <c r="C8" s="87">
        <v>0.15</v>
      </c>
      <c r="D8" s="23" t="s">
        <v>191</v>
      </c>
      <c r="E8" s="23" t="s">
        <v>103</v>
      </c>
      <c r="F8" s="14"/>
      <c r="G8" s="13"/>
      <c r="H8" s="8"/>
      <c r="I8" s="44" t="s">
        <v>212</v>
      </c>
      <c r="J8" s="45">
        <f>SUMIF(E7:E17,"NF",C7:C17)</f>
        <v>0.25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615</v>
      </c>
      <c r="C9" s="87">
        <v>0.1</v>
      </c>
      <c r="D9" s="23" t="s">
        <v>191</v>
      </c>
      <c r="E9" s="23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616</v>
      </c>
      <c r="C10" s="87">
        <v>0.1</v>
      </c>
      <c r="D10" s="23" t="s">
        <v>191</v>
      </c>
      <c r="E10" s="23" t="s">
        <v>103</v>
      </c>
      <c r="F10" s="11"/>
      <c r="G10" s="16"/>
      <c r="H10" s="8"/>
      <c r="I10" s="44" t="s">
        <v>214</v>
      </c>
      <c r="J10" s="45">
        <f>SUMIFS(C7:C17,E7:E17,"F",F7:F17,"oui")</f>
        <v>0.35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589</v>
      </c>
      <c r="C11" s="87">
        <v>0.05</v>
      </c>
      <c r="D11" s="23"/>
      <c r="E11" s="23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0.93333333333333324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617</v>
      </c>
      <c r="C12" s="88">
        <v>0.05</v>
      </c>
      <c r="D12" s="23"/>
      <c r="E12" s="23" t="s">
        <v>197</v>
      </c>
      <c r="F12" s="19"/>
      <c r="G12" s="20" t="s">
        <v>225</v>
      </c>
      <c r="H12" s="20" t="s">
        <v>225</v>
      </c>
      <c r="I12" s="44" t="s">
        <v>237</v>
      </c>
      <c r="J12" s="45">
        <f>1-J11</f>
        <v>6.6666666666666763E-2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618</v>
      </c>
      <c r="C13" s="88">
        <v>0.05</v>
      </c>
      <c r="D13" s="23"/>
      <c r="E13" s="23" t="s">
        <v>197</v>
      </c>
      <c r="F13" s="19"/>
      <c r="G13" s="20"/>
      <c r="H13" s="20"/>
      <c r="I13" s="44" t="s">
        <v>687</v>
      </c>
      <c r="J13" s="45">
        <f>(SUMIFS(C7:C17,E7:E17,"NF",H7:H17,"OUI"))</f>
        <v>0.05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619</v>
      </c>
      <c r="C14" s="88">
        <v>0.05</v>
      </c>
      <c r="D14" s="19"/>
      <c r="E14" s="23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620</v>
      </c>
      <c r="C15" s="88">
        <v>0.05</v>
      </c>
      <c r="D15" s="23"/>
      <c r="E15" s="23" t="s">
        <v>103</v>
      </c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 t="s">
        <v>621</v>
      </c>
      <c r="C16" s="88">
        <v>0.05</v>
      </c>
      <c r="D16" s="23"/>
      <c r="E16" s="23" t="s">
        <v>197</v>
      </c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612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 t="s">
        <v>613</v>
      </c>
      <c r="C20" s="78">
        <v>0.35</v>
      </c>
      <c r="D20" s="33" t="s">
        <v>237</v>
      </c>
      <c r="E20" s="33" t="s">
        <v>103</v>
      </c>
      <c r="F20" s="34" t="s">
        <v>225</v>
      </c>
      <c r="G20" s="35"/>
      <c r="H20" s="8"/>
      <c r="I20" s="44" t="s">
        <v>211</v>
      </c>
      <c r="J20" s="45">
        <f>SUMIF(E20:E23,"F",C20:C23)</f>
        <v>0.79999999999999993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 t="s">
        <v>349</v>
      </c>
      <c r="C21" s="78">
        <v>0.35</v>
      </c>
      <c r="D21" s="33" t="s">
        <v>237</v>
      </c>
      <c r="E21" s="33" t="s">
        <v>103</v>
      </c>
      <c r="F21" s="33" t="s">
        <v>225</v>
      </c>
      <c r="G21" s="35"/>
      <c r="H21" s="8"/>
      <c r="I21" s="44" t="s">
        <v>212</v>
      </c>
      <c r="J21" s="45">
        <f>SUMIF(E20:E23,"NF",C20:C23)</f>
        <v>0.1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 t="s">
        <v>622</v>
      </c>
      <c r="C22" s="78">
        <v>0.1</v>
      </c>
      <c r="D22" s="33" t="s">
        <v>237</v>
      </c>
      <c r="E22" s="33" t="s">
        <v>103</v>
      </c>
      <c r="F22" s="33" t="s">
        <v>225</v>
      </c>
      <c r="G22" s="35"/>
      <c r="H22" s="8"/>
      <c r="I22" s="44" t="s">
        <v>213</v>
      </c>
      <c r="J22" s="45">
        <f>SUMIFS(C20:C23,E20:E23,"NF",G20:G23,"OUI")</f>
        <v>0.1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 t="s">
        <v>623</v>
      </c>
      <c r="C23" s="78">
        <v>0.1</v>
      </c>
      <c r="D23" s="33" t="s">
        <v>237</v>
      </c>
      <c r="E23" s="33" t="s">
        <v>197</v>
      </c>
      <c r="F23" s="33"/>
      <c r="G23" s="35" t="s">
        <v>225</v>
      </c>
      <c r="H23" s="8"/>
      <c r="I23" s="44" t="s">
        <v>214</v>
      </c>
      <c r="J23" s="45">
        <f>SUMIFS(C20:C23,E20:E23,"F",F20:F23,"oui")</f>
        <v>0.79999999999999993</v>
      </c>
      <c r="K23" s="65"/>
      <c r="L23" s="65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 t="s">
        <v>624</v>
      </c>
      <c r="C24" s="91">
        <v>0.1</v>
      </c>
      <c r="D24" s="38" t="s">
        <v>237</v>
      </c>
      <c r="E24" s="38" t="s">
        <v>197</v>
      </c>
      <c r="F24" s="38"/>
      <c r="G24" s="39" t="s">
        <v>225</v>
      </c>
      <c r="H24" s="25" t="s">
        <v>225</v>
      </c>
      <c r="I24" s="44" t="s">
        <v>239</v>
      </c>
      <c r="J24" s="94">
        <f>SUMIFS(C20:C24,D20:D24,"CT",E20:E24,"F")/J20</f>
        <v>0</v>
      </c>
      <c r="K24" s="65"/>
      <c r="L24" s="65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>
        <f>1-J24</f>
        <v>1</v>
      </c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0.1</v>
      </c>
      <c r="M26" s="65"/>
      <c r="N26" s="30"/>
      <c r="O26" s="30"/>
      <c r="P26" s="30"/>
      <c r="Q26" s="30"/>
    </row>
    <row r="27" spans="1:17" ht="15" thickBot="1" x14ac:dyDescent="0.35"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613</v>
      </c>
      <c r="C29" s="78">
        <v>0.35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SUMIF(E29:E33,"F",C29:C33)</f>
        <v>0.79999999999999993</v>
      </c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349</v>
      </c>
      <c r="C30" s="78">
        <v>0.35</v>
      </c>
      <c r="D30" s="33" t="s">
        <v>237</v>
      </c>
      <c r="E30" s="33" t="s">
        <v>103</v>
      </c>
      <c r="F30" s="33" t="s">
        <v>225</v>
      </c>
      <c r="G30" s="35"/>
      <c r="H30" s="8"/>
      <c r="I30" s="44" t="s">
        <v>212</v>
      </c>
      <c r="J30" s="45">
        <f>SUMIF(E29:E33,"NF",C29:C33)</f>
        <v>0.2</v>
      </c>
      <c r="M30" s="65"/>
    </row>
    <row r="31" spans="1:17" ht="15" thickBot="1" x14ac:dyDescent="0.35">
      <c r="A31" s="8" t="s">
        <v>194</v>
      </c>
      <c r="B31" s="17" t="s">
        <v>622</v>
      </c>
      <c r="C31" s="78">
        <v>0.1</v>
      </c>
      <c r="D31" s="33" t="s">
        <v>237</v>
      </c>
      <c r="E31" s="33" t="s">
        <v>103</v>
      </c>
      <c r="F31" s="33" t="s">
        <v>225</v>
      </c>
      <c r="G31" s="35"/>
      <c r="H31" s="8"/>
      <c r="I31" s="44" t="s">
        <v>213</v>
      </c>
      <c r="J31" s="45">
        <f>SUMIFS(C29:C33,E29:E33,"NF",G29:G33,"OUI")</f>
        <v>0.2</v>
      </c>
      <c r="M31" s="65"/>
    </row>
    <row r="32" spans="1:17" ht="15" thickBot="1" x14ac:dyDescent="0.35">
      <c r="A32" s="25" t="s">
        <v>198</v>
      </c>
      <c r="B32" s="17" t="s">
        <v>623</v>
      </c>
      <c r="C32" s="78">
        <v>0.1</v>
      </c>
      <c r="D32" s="33" t="s">
        <v>237</v>
      </c>
      <c r="E32" s="33" t="s">
        <v>197</v>
      </c>
      <c r="F32" s="33"/>
      <c r="G32" s="35" t="s">
        <v>225</v>
      </c>
      <c r="H32" s="8"/>
      <c r="I32" s="44" t="s">
        <v>214</v>
      </c>
      <c r="J32" s="45">
        <f>SUMIFS(C29:C33,E29:E33,"F",F29:F33,"oui")</f>
        <v>0.79999999999999993</v>
      </c>
      <c r="M32" s="65"/>
    </row>
    <row r="33" spans="1:13" ht="15" thickBot="1" x14ac:dyDescent="0.35">
      <c r="A33" s="25" t="s">
        <v>200</v>
      </c>
      <c r="B33" s="26" t="s">
        <v>624</v>
      </c>
      <c r="C33" s="91">
        <v>0.1</v>
      </c>
      <c r="D33" s="38" t="s">
        <v>237</v>
      </c>
      <c r="E33" s="38" t="s">
        <v>197</v>
      </c>
      <c r="F33" s="38"/>
      <c r="G33" s="39" t="s">
        <v>225</v>
      </c>
      <c r="H33" s="39" t="s">
        <v>225</v>
      </c>
      <c r="I33" s="44" t="s">
        <v>239</v>
      </c>
      <c r="J33" s="70">
        <f>SUMIFS(C29:C33,D29:D33,"CT",E29:E33,"F")/J29</f>
        <v>0</v>
      </c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54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  <col min="17" max="17" width="19.6640625" bestFit="1" customWidth="1"/>
    <col min="18" max="18" width="13.6640625" bestFit="1" customWidth="1"/>
  </cols>
  <sheetData>
    <row r="1" spans="1:24" s="30" customFormat="1" ht="72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s="30" customFormat="1" ht="57.6" x14ac:dyDescent="0.3">
      <c r="A2" s="122" t="s">
        <v>512</v>
      </c>
      <c r="B2" s="123" t="s">
        <v>44</v>
      </c>
      <c r="C2" s="124" t="s">
        <v>220</v>
      </c>
      <c r="D2" s="125">
        <f>SUM('[1]Analyse Rémunération PDG 2022'!$E2:$J2)</f>
        <v>4002594</v>
      </c>
      <c r="E2" s="126">
        <f>552083+641667</f>
        <v>1193750</v>
      </c>
      <c r="F2" s="126">
        <f>921979+912450</f>
        <v>1834429</v>
      </c>
      <c r="G2" s="127"/>
      <c r="H2" s="127">
        <v>961965</v>
      </c>
      <c r="I2" s="126">
        <f>4494+7956</f>
        <v>12450</v>
      </c>
      <c r="J2" s="126"/>
      <c r="K2" s="58">
        <f>((J11*J7)*F2+(J24*J20)*G2+(J33*J29)*H2)/((J7*F2)+(J20*G2)+(J29*H2))</f>
        <v>0.59729240221542823</v>
      </c>
      <c r="L2" s="59">
        <f>1-K2</f>
        <v>0.40270759778457177</v>
      </c>
      <c r="M2" s="59">
        <f>(J7*F2+J20*G2+J29*H2)
/(F2+G2+H2)</f>
        <v>0.76880039078899465</v>
      </c>
      <c r="N2" s="60">
        <f>(J7*F2+J20*G2+J29*H2)/D2</f>
        <v>0.53711887840735284</v>
      </c>
      <c r="O2" s="61">
        <f>(F2*J10+G2*J23+H2*J32)/D2</f>
        <v>0.32528917497003196</v>
      </c>
      <c r="P2" s="129">
        <f>(J8*F2+J30*H2)/D2</f>
        <v>0.16152655003230407</v>
      </c>
      <c r="Q2" s="128">
        <f>(J9*F2+J22*G2+J31*H2)/D2</f>
        <v>2.4033539249796506E-2</v>
      </c>
      <c r="R2" s="118">
        <f>(J13*F2+J25*G2+J35*H2)/(F2+G2+H2)</f>
        <v>0.1</v>
      </c>
      <c r="S2" s="118">
        <f>(J13*F2+J25*G2+J35*H2)/D2</f>
        <v>6.9864542843965691E-2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>
        <f>Table_3545678101114151617181920212223242728293031[Variable]+Table_3545678101114151617181920212223242728293031[Actions de performance]</f>
        <v>2796394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130" t="s">
        <v>182</v>
      </c>
      <c r="B6" s="131" t="s">
        <v>183</v>
      </c>
      <c r="C6" s="132" t="s">
        <v>184</v>
      </c>
      <c r="D6" s="133" t="s">
        <v>185</v>
      </c>
      <c r="E6" s="133" t="s">
        <v>186</v>
      </c>
      <c r="F6" s="133" t="s">
        <v>187</v>
      </c>
      <c r="G6" s="134" t="s">
        <v>188</v>
      </c>
      <c r="H6" s="130" t="s">
        <v>685</v>
      </c>
      <c r="I6" s="135"/>
      <c r="J6" s="135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136" t="s">
        <v>189</v>
      </c>
      <c r="B7" s="137" t="s">
        <v>686</v>
      </c>
      <c r="C7" s="138">
        <v>0.5</v>
      </c>
      <c r="D7" s="139" t="s">
        <v>191</v>
      </c>
      <c r="E7" s="140" t="s">
        <v>103</v>
      </c>
      <c r="F7" s="141" t="s">
        <v>225</v>
      </c>
      <c r="G7" s="140"/>
      <c r="H7" s="136"/>
      <c r="I7" s="142" t="s">
        <v>211</v>
      </c>
      <c r="J7" s="143">
        <f>SUMIF(E7:E17,"F",C7:C17)</f>
        <v>0.7</v>
      </c>
      <c r="K7" s="65"/>
      <c r="L7" s="73" t="s">
        <v>266</v>
      </c>
      <c r="M7" s="99" t="s">
        <v>679</v>
      </c>
      <c r="N7" s="74"/>
      <c r="O7" s="63"/>
      <c r="P7" s="30"/>
      <c r="Q7" s="30"/>
    </row>
    <row r="8" spans="1:24" ht="15" thickBot="1" x14ac:dyDescent="0.35">
      <c r="A8" s="136" t="s">
        <v>192</v>
      </c>
      <c r="B8" s="144" t="s">
        <v>513</v>
      </c>
      <c r="C8" s="138">
        <v>0.2</v>
      </c>
      <c r="D8" s="139" t="s">
        <v>191</v>
      </c>
      <c r="E8" s="140" t="s">
        <v>103</v>
      </c>
      <c r="F8" s="141" t="s">
        <v>247</v>
      </c>
      <c r="G8" s="145"/>
      <c r="H8" s="136"/>
      <c r="I8" s="142" t="s">
        <v>212</v>
      </c>
      <c r="J8" s="143">
        <f>SUMIF(E7:E17,"NF",C7:C17)</f>
        <v>0.30000000000000004</v>
      </c>
      <c r="K8" s="65"/>
      <c r="M8" t="s">
        <v>684</v>
      </c>
      <c r="N8" s="30"/>
      <c r="O8" s="63"/>
      <c r="P8" s="30"/>
      <c r="Q8" s="30"/>
    </row>
    <row r="9" spans="1:24" ht="43.8" thickBot="1" x14ac:dyDescent="0.35">
      <c r="A9" s="136" t="s">
        <v>194</v>
      </c>
      <c r="B9" s="144" t="s">
        <v>284</v>
      </c>
      <c r="C9" s="138">
        <v>0.1</v>
      </c>
      <c r="D9" s="139" t="s">
        <v>191</v>
      </c>
      <c r="E9" s="140" t="s">
        <v>197</v>
      </c>
      <c r="F9" s="141" t="s">
        <v>247</v>
      </c>
      <c r="G9" s="141" t="s">
        <v>247</v>
      </c>
      <c r="H9" s="146" t="s">
        <v>225</v>
      </c>
      <c r="I9" s="142" t="s">
        <v>213</v>
      </c>
      <c r="J9" s="143">
        <f>SUMIFS(C7:C17,E7:E17,"NF",G7:G17,"OUI")</f>
        <v>0</v>
      </c>
      <c r="K9" s="65"/>
      <c r="L9" s="65"/>
      <c r="M9" s="48" t="s">
        <v>215</v>
      </c>
      <c r="N9" s="48" t="s">
        <v>216</v>
      </c>
      <c r="O9" s="49" t="s">
        <v>217</v>
      </c>
      <c r="P9" s="50" t="s">
        <v>218</v>
      </c>
      <c r="Q9" s="49" t="s">
        <v>172</v>
      </c>
      <c r="R9" s="49" t="s">
        <v>173</v>
      </c>
      <c r="S9" s="49" t="s">
        <v>174</v>
      </c>
      <c r="T9" s="49" t="s">
        <v>175</v>
      </c>
      <c r="U9" s="49" t="s">
        <v>176</v>
      </c>
      <c r="V9" s="49" t="s">
        <v>177</v>
      </c>
    </row>
    <row r="10" spans="1:24" ht="24" customHeight="1" thickBot="1" x14ac:dyDescent="0.35">
      <c r="A10" s="136" t="s">
        <v>198</v>
      </c>
      <c r="B10" s="144" t="s">
        <v>514</v>
      </c>
      <c r="C10" s="138">
        <v>0.1</v>
      </c>
      <c r="D10" s="139" t="s">
        <v>191</v>
      </c>
      <c r="E10" s="140" t="s">
        <v>197</v>
      </c>
      <c r="F10" s="141" t="s">
        <v>247</v>
      </c>
      <c r="G10" s="141" t="s">
        <v>247</v>
      </c>
      <c r="H10" s="136"/>
      <c r="I10" s="142" t="s">
        <v>214</v>
      </c>
      <c r="J10" s="143">
        <f>SUMIFS(C7:C17,E7:E17,"F",F7:F17,"oui")</f>
        <v>0.5</v>
      </c>
      <c r="K10" s="65"/>
      <c r="L10" s="65"/>
      <c r="M10" s="106" t="s">
        <v>680</v>
      </c>
      <c r="N10" s="107" t="s">
        <v>44</v>
      </c>
      <c r="O10" s="108" t="s">
        <v>220</v>
      </c>
      <c r="P10" s="109">
        <f>SUM('[1]Analyse Rémunération PDG 2022'!$E10:$J10)</f>
        <v>0</v>
      </c>
      <c r="Q10" s="110">
        <f>552083</f>
        <v>552083</v>
      </c>
      <c r="R10" s="110">
        <f>921979</f>
        <v>921979</v>
      </c>
      <c r="S10" s="111"/>
      <c r="T10" s="110">
        <v>0</v>
      </c>
      <c r="U10" s="110">
        <f>4494</f>
        <v>4494</v>
      </c>
      <c r="V10" s="110"/>
    </row>
    <row r="11" spans="1:24" ht="29.4" thickBot="1" x14ac:dyDescent="0.35">
      <c r="A11" s="136" t="s">
        <v>200</v>
      </c>
      <c r="B11" s="144" t="s">
        <v>515</v>
      </c>
      <c r="C11" s="138">
        <v>0.1</v>
      </c>
      <c r="D11" s="139" t="s">
        <v>191</v>
      </c>
      <c r="E11" s="140" t="s">
        <v>197</v>
      </c>
      <c r="F11" s="141" t="s">
        <v>247</v>
      </c>
      <c r="G11" s="141" t="s">
        <v>247</v>
      </c>
      <c r="H11" s="147"/>
      <c r="I11" s="142" t="s">
        <v>239</v>
      </c>
      <c r="J11" s="143">
        <f>SUMIFS(C7:C17,D7:D17,"CT",E7:E17,"F")/J7</f>
        <v>1</v>
      </c>
      <c r="K11" s="47"/>
      <c r="L11" s="47"/>
      <c r="M11" s="51" t="s">
        <v>681</v>
      </c>
      <c r="N11" s="52" t="s">
        <v>44</v>
      </c>
      <c r="O11" s="53" t="s">
        <v>319</v>
      </c>
      <c r="P11" s="109">
        <f>SUM('[1]Analyse Rémunération PDG 2022'!$E11:$J11)</f>
        <v>0</v>
      </c>
      <c r="Q11" s="55">
        <f>641667</f>
        <v>641667</v>
      </c>
      <c r="R11" s="55">
        <f>912450</f>
        <v>912450</v>
      </c>
      <c r="S11" s="56"/>
      <c r="T11" s="55">
        <v>961965</v>
      </c>
      <c r="U11" s="55">
        <f>7956</f>
        <v>7956</v>
      </c>
      <c r="V11" s="55"/>
    </row>
    <row r="12" spans="1:24" ht="15" thickBot="1" x14ac:dyDescent="0.35">
      <c r="A12" s="136" t="s">
        <v>202</v>
      </c>
      <c r="B12" s="144"/>
      <c r="C12" s="148"/>
      <c r="D12" s="139"/>
      <c r="E12" s="144"/>
      <c r="F12" s="144"/>
      <c r="G12" s="144"/>
      <c r="H12" s="147"/>
      <c r="I12" s="142" t="s">
        <v>237</v>
      </c>
      <c r="J12" s="143">
        <f>1-J11</f>
        <v>0</v>
      </c>
      <c r="K12" s="46"/>
      <c r="L12" s="46"/>
      <c r="M12" s="116" t="s">
        <v>641</v>
      </c>
      <c r="N12" s="113"/>
      <c r="O12" s="112"/>
      <c r="P12" s="114">
        <f t="shared" ref="P12:V12" si="0">SUM(P10:P11)</f>
        <v>0</v>
      </c>
      <c r="Q12" s="114">
        <f t="shared" si="0"/>
        <v>1193750</v>
      </c>
      <c r="R12" s="114">
        <f t="shared" si="0"/>
        <v>1834429</v>
      </c>
      <c r="S12" s="115">
        <f t="shared" si="0"/>
        <v>0</v>
      </c>
      <c r="T12" s="114">
        <f t="shared" si="0"/>
        <v>961965</v>
      </c>
      <c r="U12" s="114">
        <f t="shared" si="0"/>
        <v>12450</v>
      </c>
      <c r="V12" s="114">
        <f t="shared" si="0"/>
        <v>0</v>
      </c>
    </row>
    <row r="13" spans="1:24" ht="15" thickBot="1" x14ac:dyDescent="0.35">
      <c r="A13" s="136" t="s">
        <v>203</v>
      </c>
      <c r="B13" s="144"/>
      <c r="C13" s="138"/>
      <c r="D13" s="139"/>
      <c r="E13" s="144"/>
      <c r="F13" s="144"/>
      <c r="G13" s="144"/>
      <c r="H13" s="147"/>
      <c r="I13" s="142" t="s">
        <v>687</v>
      </c>
      <c r="J13" s="143">
        <f>SUMIFS(C7:C17,E7:E17,"NF",H7:H17,"OUI")</f>
        <v>0.1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136" t="s">
        <v>204</v>
      </c>
      <c r="B14" s="144"/>
      <c r="C14" s="148"/>
      <c r="D14" s="144"/>
      <c r="E14" s="144"/>
      <c r="F14" s="144"/>
      <c r="G14" s="144"/>
      <c r="H14" s="147"/>
      <c r="I14" s="149"/>
      <c r="J14" s="149"/>
      <c r="K14" s="46"/>
      <c r="L14" s="46"/>
      <c r="M14" s="46"/>
      <c r="N14" s="30"/>
      <c r="O14" s="63"/>
      <c r="P14" s="30"/>
      <c r="Q14" s="30"/>
    </row>
    <row r="15" spans="1:24" x14ac:dyDescent="0.3">
      <c r="A15" s="136" t="s">
        <v>205</v>
      </c>
      <c r="B15" s="144"/>
      <c r="C15" s="148"/>
      <c r="D15" s="139"/>
      <c r="E15" s="139"/>
      <c r="F15" s="139"/>
      <c r="G15" s="139"/>
      <c r="H15" s="150"/>
      <c r="I15" s="149"/>
      <c r="J15" s="149"/>
      <c r="K15" s="46"/>
      <c r="L15" s="46"/>
      <c r="M15" s="46"/>
      <c r="N15" s="30"/>
      <c r="O15" s="63"/>
      <c r="P15" s="30"/>
      <c r="Q15" s="30"/>
    </row>
    <row r="16" spans="1:24" x14ac:dyDescent="0.3">
      <c r="A16" s="136" t="s">
        <v>206</v>
      </c>
      <c r="B16" s="144"/>
      <c r="C16" s="148"/>
      <c r="D16" s="139"/>
      <c r="E16" s="139"/>
      <c r="F16" s="139"/>
      <c r="G16" s="139"/>
      <c r="H16" s="150"/>
      <c r="I16" s="149"/>
      <c r="J16" s="149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151" t="s">
        <v>207</v>
      </c>
      <c r="B17" s="152"/>
      <c r="C17" s="148"/>
      <c r="D17" s="153"/>
      <c r="E17" s="153"/>
      <c r="F17" s="153"/>
      <c r="G17" s="153"/>
      <c r="H17" s="154"/>
      <c r="I17" s="149"/>
      <c r="J17" s="149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149"/>
      <c r="B18" s="149"/>
      <c r="C18" s="155"/>
      <c r="D18" s="149"/>
      <c r="E18" s="149"/>
      <c r="F18" s="149"/>
      <c r="G18" s="149"/>
      <c r="H18" s="149"/>
      <c r="I18" s="149"/>
      <c r="J18" s="149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130" t="s">
        <v>174</v>
      </c>
      <c r="B19" s="131" t="s">
        <v>183</v>
      </c>
      <c r="C19" s="132" t="s">
        <v>184</v>
      </c>
      <c r="D19" s="133" t="s">
        <v>208</v>
      </c>
      <c r="E19" s="133" t="s">
        <v>186</v>
      </c>
      <c r="F19" s="133" t="s">
        <v>187</v>
      </c>
      <c r="G19" s="134" t="s">
        <v>188</v>
      </c>
      <c r="H19" s="130" t="s">
        <v>685</v>
      </c>
      <c r="I19" s="142"/>
      <c r="J19" s="142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136" t="s">
        <v>189</v>
      </c>
      <c r="B20" s="156"/>
      <c r="C20" s="157"/>
      <c r="D20" s="158"/>
      <c r="E20" s="158"/>
      <c r="F20" s="158"/>
      <c r="G20" s="159"/>
      <c r="H20" s="136"/>
      <c r="I20" s="142" t="s">
        <v>211</v>
      </c>
      <c r="J20" s="143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136" t="s">
        <v>192</v>
      </c>
      <c r="B21" s="156"/>
      <c r="C21" s="157"/>
      <c r="D21" s="158"/>
      <c r="E21" s="158"/>
      <c r="F21" s="158"/>
      <c r="G21" s="159"/>
      <c r="H21" s="136"/>
      <c r="I21" s="142" t="s">
        <v>212</v>
      </c>
      <c r="J21" s="143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136" t="s">
        <v>194</v>
      </c>
      <c r="B22" s="156"/>
      <c r="C22" s="157"/>
      <c r="D22" s="158"/>
      <c r="E22" s="158"/>
      <c r="F22" s="158"/>
      <c r="G22" s="159"/>
      <c r="H22" s="136"/>
      <c r="I22" s="142" t="s">
        <v>213</v>
      </c>
      <c r="J22" s="143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136" t="s">
        <v>198</v>
      </c>
      <c r="B23" s="156"/>
      <c r="C23" s="157"/>
      <c r="D23" s="158"/>
      <c r="E23" s="158"/>
      <c r="F23" s="158"/>
      <c r="G23" s="159"/>
      <c r="H23" s="136"/>
      <c r="I23" s="142" t="s">
        <v>214</v>
      </c>
      <c r="J23" s="143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151" t="s">
        <v>200</v>
      </c>
      <c r="B24" s="152"/>
      <c r="C24" s="152"/>
      <c r="D24" s="160"/>
      <c r="E24" s="160"/>
      <c r="F24" s="160"/>
      <c r="G24" s="161"/>
      <c r="H24" s="151"/>
      <c r="I24" s="142" t="s">
        <v>239</v>
      </c>
      <c r="J24" s="163"/>
      <c r="K24" s="66"/>
      <c r="L24" s="46"/>
      <c r="M24" s="46"/>
      <c r="N24" s="105"/>
      <c r="O24" s="30"/>
      <c r="P24" s="30"/>
      <c r="Q24" s="30"/>
    </row>
    <row r="25" spans="1:17" ht="15" thickBot="1" x14ac:dyDescent="0.35">
      <c r="A25" s="30"/>
      <c r="B25" s="30"/>
      <c r="C25" s="30"/>
      <c r="D25" s="30"/>
      <c r="E25" s="30"/>
      <c r="F25" s="30"/>
      <c r="G25" s="30"/>
      <c r="H25" s="30"/>
      <c r="I25" s="142" t="s">
        <v>237</v>
      </c>
      <c r="J25" s="143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A26" s="30"/>
      <c r="B26" s="30"/>
      <c r="C26" s="30"/>
      <c r="D26" s="30"/>
      <c r="E26" s="30"/>
      <c r="F26" s="30"/>
      <c r="G26" s="30"/>
      <c r="H26" s="30"/>
      <c r="I26" s="142" t="s">
        <v>224</v>
      </c>
      <c r="J26" s="30"/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A27" s="30"/>
      <c r="B27" s="30"/>
      <c r="C27" s="30"/>
      <c r="D27" s="30"/>
      <c r="E27" s="30"/>
      <c r="F27" s="30"/>
      <c r="G27" s="30"/>
      <c r="H27" s="30"/>
      <c r="I27" s="149"/>
      <c r="J27" s="149"/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130" t="s">
        <v>175</v>
      </c>
      <c r="B28" s="131" t="s">
        <v>183</v>
      </c>
      <c r="C28" s="132" t="s">
        <v>184</v>
      </c>
      <c r="D28" s="133" t="s">
        <v>208</v>
      </c>
      <c r="E28" s="133" t="s">
        <v>186</v>
      </c>
      <c r="F28" s="133" t="s">
        <v>187</v>
      </c>
      <c r="G28" s="134" t="s">
        <v>188</v>
      </c>
      <c r="H28" s="130" t="s">
        <v>685</v>
      </c>
      <c r="I28" s="142"/>
      <c r="J28" s="142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136" t="s">
        <v>189</v>
      </c>
      <c r="B29" s="156" t="s">
        <v>516</v>
      </c>
      <c r="C29" s="157">
        <v>0.5</v>
      </c>
      <c r="D29" s="158" t="s">
        <v>237</v>
      </c>
      <c r="E29" s="158" t="s">
        <v>103</v>
      </c>
      <c r="F29" s="137" t="s">
        <v>247</v>
      </c>
      <c r="G29" s="159"/>
      <c r="H29" s="136"/>
      <c r="I29" s="142" t="s">
        <v>211</v>
      </c>
      <c r="J29" s="143">
        <f>SUMIF(E29:E33,"F",C29:C33)</f>
        <v>0.89999999999999991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136" t="s">
        <v>192</v>
      </c>
      <c r="B30" s="156" t="s">
        <v>517</v>
      </c>
      <c r="C30" s="157">
        <f>50%*40%</f>
        <v>0.2</v>
      </c>
      <c r="D30" s="158" t="s">
        <v>237</v>
      </c>
      <c r="E30" s="158" t="s">
        <v>103</v>
      </c>
      <c r="F30" s="158" t="s">
        <v>225</v>
      </c>
      <c r="G30" s="159"/>
      <c r="H30" s="136"/>
      <c r="I30" s="142" t="s">
        <v>212</v>
      </c>
      <c r="J30" s="143">
        <f>SUMIF(E29:E33,"NF",C29:C33)</f>
        <v>0.1</v>
      </c>
      <c r="K30" s="65"/>
      <c r="L30" s="65"/>
      <c r="M30" s="65"/>
    </row>
    <row r="31" spans="1:17" ht="15" thickBot="1" x14ac:dyDescent="0.35">
      <c r="A31" s="136" t="s">
        <v>194</v>
      </c>
      <c r="B31" s="156" t="s">
        <v>518</v>
      </c>
      <c r="C31" s="157">
        <f>50%*40%</f>
        <v>0.2</v>
      </c>
      <c r="D31" s="158" t="s">
        <v>237</v>
      </c>
      <c r="E31" s="158" t="s">
        <v>103</v>
      </c>
      <c r="F31" s="158" t="s">
        <v>225</v>
      </c>
      <c r="G31" s="159"/>
      <c r="H31" s="136"/>
      <c r="I31" s="142" t="s">
        <v>213</v>
      </c>
      <c r="J31" s="143">
        <f>SUMIFS(C29:C33,E29:E33,"NF",G29:G33,"OUI")</f>
        <v>0.1</v>
      </c>
      <c r="K31" s="65"/>
      <c r="L31" s="65"/>
      <c r="M31" s="65"/>
    </row>
    <row r="32" spans="1:17" ht="15" thickBot="1" x14ac:dyDescent="0.35">
      <c r="A32" s="136" t="s">
        <v>198</v>
      </c>
      <c r="B32" s="156" t="s">
        <v>519</v>
      </c>
      <c r="C32" s="157">
        <v>0.1</v>
      </c>
      <c r="D32" s="158" t="s">
        <v>237</v>
      </c>
      <c r="E32" s="158" t="s">
        <v>197</v>
      </c>
      <c r="F32" s="137" t="s">
        <v>247</v>
      </c>
      <c r="G32" s="159" t="s">
        <v>225</v>
      </c>
      <c r="H32" s="136" t="s">
        <v>225</v>
      </c>
      <c r="I32" s="142" t="s">
        <v>214</v>
      </c>
      <c r="J32" s="143">
        <f>SUMIFS(C29:C33,E29:E33,"F",F29:F33,"oui")</f>
        <v>0.4</v>
      </c>
      <c r="K32" s="65"/>
      <c r="L32" s="65"/>
      <c r="M32" s="65"/>
    </row>
    <row r="33" spans="1:13" ht="15" thickBot="1" x14ac:dyDescent="0.35">
      <c r="A33" s="151" t="s">
        <v>200</v>
      </c>
      <c r="B33" s="156"/>
      <c r="C33" s="157"/>
      <c r="D33" s="158"/>
      <c r="E33" s="158"/>
      <c r="F33" s="158"/>
      <c r="G33" s="159"/>
      <c r="H33" s="151"/>
      <c r="I33" s="142" t="s">
        <v>239</v>
      </c>
      <c r="J33" s="143">
        <f>SUMIFS(C29:C33,D29:D33,"CT",E29:E33,"F")/J29</f>
        <v>0</v>
      </c>
      <c r="L33" s="65"/>
      <c r="M33" s="65"/>
    </row>
    <row r="34" spans="1:13" ht="15" thickBot="1" x14ac:dyDescent="0.35">
      <c r="A34" s="130" t="s">
        <v>202</v>
      </c>
      <c r="B34" s="131"/>
      <c r="C34" s="132"/>
      <c r="D34" s="133"/>
      <c r="E34" s="133"/>
      <c r="F34" s="133"/>
      <c r="G34" s="134"/>
      <c r="H34" s="130"/>
      <c r="I34" s="142" t="s">
        <v>240</v>
      </c>
      <c r="J34" s="143">
        <f>1-J33</f>
        <v>1</v>
      </c>
    </row>
    <row r="35" spans="1:13" ht="15" thickBot="1" x14ac:dyDescent="0.35">
      <c r="A35" s="162"/>
      <c r="B35" s="162"/>
      <c r="C35" s="162"/>
      <c r="D35" s="162"/>
      <c r="E35" s="162"/>
      <c r="F35" s="162"/>
      <c r="G35" s="162"/>
      <c r="H35" s="162"/>
      <c r="I35" s="142" t="s">
        <v>224</v>
      </c>
      <c r="J35" s="143">
        <f>SUMIFS(C29:C37,E29:E37,"NF",H29:H37,"OUI")</f>
        <v>0.1</v>
      </c>
    </row>
    <row r="36" spans="1:13" x14ac:dyDescent="0.3">
      <c r="A36" s="162"/>
      <c r="B36" s="162"/>
      <c r="C36" s="162"/>
      <c r="D36" s="162"/>
      <c r="E36" s="162"/>
      <c r="F36" s="162"/>
      <c r="G36" s="162"/>
      <c r="H36" s="162"/>
      <c r="I36" s="162"/>
      <c r="J36" s="162"/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4" workbookViewId="0">
      <selection activeCell="B1" sqref="B1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57.6" x14ac:dyDescent="0.3">
      <c r="A2" s="51" t="s">
        <v>497</v>
      </c>
      <c r="B2" s="52" t="s">
        <v>50</v>
      </c>
      <c r="C2" s="53" t="s">
        <v>220</v>
      </c>
      <c r="D2" s="54">
        <f>SUM(Table_3545678101114151617181920212223242728293061[[#This Row],[Fixe]:[Retraite ]])</f>
        <v>2910073</v>
      </c>
      <c r="E2" s="55">
        <f>515000+515000</f>
        <v>1030000</v>
      </c>
      <c r="F2" s="55">
        <f>764288+764288</f>
        <v>1528576</v>
      </c>
      <c r="G2" s="56"/>
      <c r="H2" s="56">
        <v>350584</v>
      </c>
      <c r="I2" s="55">
        <v>913</v>
      </c>
      <c r="J2" s="55"/>
      <c r="K2" s="58">
        <f>((J11*J7)*F2+(J24*J20)*G2+(J33*J29)*H2)/((J7*F2)+(J20*G2)+(J29*H2))</f>
        <v>0.56940505332169689</v>
      </c>
      <c r="L2" s="59">
        <f>1-K2</f>
        <v>0.43059494667830311</v>
      </c>
      <c r="M2" s="59">
        <f>(J7*F2+J20*G2+J29*H2)
/(F2+G2+H2)</f>
        <v>0.5</v>
      </c>
      <c r="N2" s="60">
        <f>(J7*F2+J20*G2+J29*H2)/D2</f>
        <v>0.32287162555715954</v>
      </c>
      <c r="O2" s="61">
        <f>(F2*J10+G2*J23+H2*J32)/D2</f>
        <v>0.19155395758113283</v>
      </c>
      <c r="P2" s="62">
        <f>(J8*F2+J21*G2+J30*H2)/D2</f>
        <v>0.32287162555715954</v>
      </c>
      <c r="Q2" s="62">
        <f>(J9*F2+J22*G2+J31*H2)/D2</f>
        <v>0.20275841877506168</v>
      </c>
      <c r="R2" s="62">
        <f>(J13*F2+J26*G2+J35*H2)/(F2+G2+H2)</f>
        <v>6.3992315715532475E-2</v>
      </c>
      <c r="S2" s="62">
        <f>(J13*F2+J26*G2+J35*H2)/D2</f>
        <v>4.1322605996481875E-2</v>
      </c>
    </row>
    <row r="3" spans="1:24" s="63" customFormat="1" x14ac:dyDescent="0.3">
      <c r="K3" s="97"/>
      <c r="M3" s="97"/>
      <c r="R3" s="308"/>
      <c r="S3" s="308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498</v>
      </c>
      <c r="C7" s="87">
        <v>0.15</v>
      </c>
      <c r="D7" s="23" t="s">
        <v>191</v>
      </c>
      <c r="E7" s="11" t="s">
        <v>103</v>
      </c>
      <c r="F7" s="12" t="s">
        <v>225</v>
      </c>
      <c r="G7" s="13"/>
      <c r="H7" s="8"/>
      <c r="I7" s="44" t="s">
        <v>211</v>
      </c>
      <c r="J7" s="45">
        <f>SUMIF(E7:E17,"F",C7:C17)</f>
        <v>0.5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499</v>
      </c>
      <c r="C8" s="87">
        <v>0.1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500</v>
      </c>
      <c r="C9" s="87">
        <v>0.15</v>
      </c>
      <c r="D9" s="23" t="s">
        <v>286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0.3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735</v>
      </c>
      <c r="C10" s="87">
        <v>0.1</v>
      </c>
      <c r="D10" s="23" t="s">
        <v>191</v>
      </c>
      <c r="E10" s="11" t="s">
        <v>103</v>
      </c>
      <c r="F10" s="11" t="s">
        <v>225</v>
      </c>
      <c r="G10" s="16"/>
      <c r="H10" s="8"/>
      <c r="I10" s="44" t="s">
        <v>214</v>
      </c>
      <c r="J10" s="45">
        <f>SUMIFS(C7:C17,E7:E17,"F",F7:F17,"oui")</f>
        <v>0.25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501</v>
      </c>
      <c r="C11" s="87">
        <v>0.05</v>
      </c>
      <c r="D11" s="23"/>
      <c r="E11" s="11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0.7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502</v>
      </c>
      <c r="C12" s="88">
        <v>0.05</v>
      </c>
      <c r="D12" s="23"/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0.30000000000000004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224</v>
      </c>
      <c r="C13" s="87">
        <v>0.05</v>
      </c>
      <c r="D13" s="23"/>
      <c r="E13" s="19" t="s">
        <v>197</v>
      </c>
      <c r="F13" s="19"/>
      <c r="G13" s="20" t="s">
        <v>225</v>
      </c>
      <c r="H13" s="20" t="s">
        <v>225</v>
      </c>
      <c r="I13" s="44" t="s">
        <v>687</v>
      </c>
      <c r="J13" s="45">
        <f>(SUMIFS(C7:C17,E7:E17,"NF",H7:H17,"OUI"))</f>
        <v>0.05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503</v>
      </c>
      <c r="C14" s="88">
        <v>0.05</v>
      </c>
      <c r="D14" s="19"/>
      <c r="E14" s="19" t="s">
        <v>197</v>
      </c>
      <c r="F14" s="19"/>
      <c r="G14" s="20" t="s">
        <v>225</v>
      </c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504</v>
      </c>
      <c r="C15" s="88">
        <v>0.05</v>
      </c>
      <c r="D15" s="23"/>
      <c r="E15" s="23" t="s">
        <v>197</v>
      </c>
      <c r="F15" s="23"/>
      <c r="G15" s="24" t="s">
        <v>225</v>
      </c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 t="s">
        <v>505</v>
      </c>
      <c r="C16" s="88">
        <v>0.05</v>
      </c>
      <c r="D16" s="23"/>
      <c r="E16" s="23" t="s">
        <v>197</v>
      </c>
      <c r="F16" s="23"/>
      <c r="G16" s="24" t="s">
        <v>225</v>
      </c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 t="s">
        <v>511</v>
      </c>
      <c r="C17" s="88">
        <v>0.2</v>
      </c>
      <c r="D17" s="28"/>
      <c r="E17" s="28" t="s">
        <v>197</v>
      </c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506</v>
      </c>
      <c r="C29" s="78">
        <v>0.25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SUMIF(E29:E34,"F",C29:C34)</f>
        <v>0.5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507</v>
      </c>
      <c r="C30" s="78">
        <v>0.25</v>
      </c>
      <c r="D30" s="33" t="s">
        <v>237</v>
      </c>
      <c r="E30" s="33" t="s">
        <v>103</v>
      </c>
      <c r="F30" s="33" t="s">
        <v>225</v>
      </c>
      <c r="G30" s="16"/>
      <c r="H30" s="8"/>
      <c r="I30" s="44" t="s">
        <v>212</v>
      </c>
      <c r="J30" s="45">
        <f>SUMIF(E29:E34,"NF",C29:C34)</f>
        <v>0.5</v>
      </c>
      <c r="L30" s="65"/>
      <c r="M30" s="65"/>
    </row>
    <row r="31" spans="1:17" ht="15" thickBot="1" x14ac:dyDescent="0.35">
      <c r="A31" s="8" t="s">
        <v>194</v>
      </c>
      <c r="B31" s="86" t="s">
        <v>224</v>
      </c>
      <c r="C31" s="78">
        <v>0.125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SUMIFS(C29:C34,E29:E34,"NF",G29:G34,"OUI")</f>
        <v>0.375</v>
      </c>
      <c r="L31" s="65"/>
      <c r="M31" s="65"/>
    </row>
    <row r="32" spans="1:17" ht="15" thickBot="1" x14ac:dyDescent="0.35">
      <c r="A32" s="25" t="s">
        <v>198</v>
      </c>
      <c r="B32" s="38" t="s">
        <v>508</v>
      </c>
      <c r="C32" s="67">
        <v>0.125</v>
      </c>
      <c r="D32" s="38"/>
      <c r="E32" s="38" t="s">
        <v>197</v>
      </c>
      <c r="F32" s="38"/>
      <c r="G32" s="39" t="s">
        <v>225</v>
      </c>
      <c r="H32" s="8"/>
      <c r="I32" s="44" t="s">
        <v>214</v>
      </c>
      <c r="J32" s="45">
        <f>SUMIFS(C29:C34,E29:E34,"F",F29:F34,"oui")</f>
        <v>0.5</v>
      </c>
      <c r="L32" s="65"/>
      <c r="M32" s="65"/>
    </row>
    <row r="33" spans="1:13" ht="15" thickBot="1" x14ac:dyDescent="0.35">
      <c r="A33" s="25" t="s">
        <v>200</v>
      </c>
      <c r="B33" s="38" t="s">
        <v>509</v>
      </c>
      <c r="C33" s="67">
        <v>0.125</v>
      </c>
      <c r="D33" s="38"/>
      <c r="E33" s="38" t="s">
        <v>197</v>
      </c>
      <c r="F33" s="38"/>
      <c r="G33" s="39" t="s">
        <v>225</v>
      </c>
      <c r="H33" s="39"/>
      <c r="I33" s="44" t="s">
        <v>239</v>
      </c>
      <c r="J33" s="98">
        <f>SUMIFS(C29:C34,D29:D34,"CT",E29:E34,"F")/J29</f>
        <v>0</v>
      </c>
      <c r="L33" s="65"/>
      <c r="M33" s="65"/>
    </row>
    <row r="34" spans="1:13" ht="15" thickBot="1" x14ac:dyDescent="0.35">
      <c r="A34" s="25" t="s">
        <v>202</v>
      </c>
      <c r="B34" s="38" t="s">
        <v>510</v>
      </c>
      <c r="C34" s="67">
        <v>0.125</v>
      </c>
      <c r="D34" s="38"/>
      <c r="E34" s="38" t="s">
        <v>197</v>
      </c>
      <c r="F34" s="38"/>
      <c r="G34" s="39" t="s">
        <v>453</v>
      </c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0.125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3" workbookViewId="0"/>
  </sheetViews>
  <sheetFormatPr baseColWidth="10" defaultRowHeight="14.4" x14ac:dyDescent="0.3"/>
  <cols>
    <col min="4" max="4" width="17" customWidth="1"/>
    <col min="7" max="7" width="13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372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364</v>
      </c>
      <c r="B2" s="52" t="s">
        <v>40</v>
      </c>
      <c r="C2" s="53" t="s">
        <v>220</v>
      </c>
      <c r="D2" s="54">
        <f>SUM(Table_3545678101114151617181962[[#This Row],[Fixe]:[Retraite ]])</f>
        <v>6313100</v>
      </c>
      <c r="E2" s="55">
        <v>1271944</v>
      </c>
      <c r="F2" s="55">
        <v>2007200</v>
      </c>
      <c r="G2" s="56"/>
      <c r="H2" s="55">
        <v>2689750</v>
      </c>
      <c r="I2" s="55">
        <f>5574</f>
        <v>5574</v>
      </c>
      <c r="J2" s="55">
        <v>338632</v>
      </c>
      <c r="K2" s="58">
        <f>((J11*J7)*F2+(J24*J20)*G2+(J33*J29)*H2)/((J7*F2)+(J20*G2)+(J29*H2))</f>
        <v>0.37382289879432251</v>
      </c>
      <c r="L2" s="59">
        <f>1-K2</f>
        <v>0.62617710120567749</v>
      </c>
      <c r="M2" s="59">
        <f>(J7*F2+J20*G2+J29*H2)
/(F2+G2+H2)</f>
        <v>0.68589882796282697</v>
      </c>
      <c r="N2" s="60">
        <f>(J7*F2+J20*G2+J29*H2)/D2</f>
        <v>0.51030911913323085</v>
      </c>
      <c r="O2" s="61">
        <f>(F2*J10+G2*J23+H2*J32)/D2</f>
        <v>0.17010303971107696</v>
      </c>
      <c r="P2" s="62">
        <f>(J8*F2+J21*G2+J30*H2)/D2</f>
        <v>0.2336596569038982</v>
      </c>
      <c r="Q2" s="62">
        <f>(J9*F2+J22*G2+J31*H2)/D2</f>
        <v>0.15948377500752403</v>
      </c>
      <c r="R2" s="62">
        <f>(J13*F2+J26*G2+J35*H2)/(F2+G2+H2)</f>
        <v>0.14316471327137822</v>
      </c>
      <c r="S2" s="62">
        <f>(J13*F2+J26*G2+J35*H2)/D2</f>
        <v>0.10651462831255643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365</v>
      </c>
      <c r="C7" s="19">
        <v>0.2</v>
      </c>
      <c r="D7" s="11" t="s">
        <v>191</v>
      </c>
      <c r="E7" s="11" t="s">
        <v>103</v>
      </c>
      <c r="F7" s="12" t="s">
        <v>225</v>
      </c>
      <c r="G7" s="13"/>
      <c r="H7" s="8"/>
      <c r="I7" s="44" t="s">
        <v>211</v>
      </c>
      <c r="J7" s="45">
        <f>SUMIF(E7:E17,"F",C7:C17)</f>
        <v>0.60000000000000009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366</v>
      </c>
      <c r="C8" s="19">
        <v>0.2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0.39989999999999998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367</v>
      </c>
      <c r="C9" s="19">
        <v>0.2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0.1666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368</v>
      </c>
      <c r="C10" s="19">
        <v>0.15</v>
      </c>
      <c r="D10" s="11"/>
      <c r="E10" s="11" t="s">
        <v>197</v>
      </c>
      <c r="F10" s="11"/>
      <c r="G10" s="16"/>
      <c r="H10" s="8"/>
      <c r="I10" s="44" t="s">
        <v>214</v>
      </c>
      <c r="J10" s="45">
        <f>SUMIFS(C7:C17,E7:E17,"F",F7:F17,"oui")</f>
        <v>0.2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369</v>
      </c>
      <c r="C11" s="19">
        <v>8.3299999999999999E-2</v>
      </c>
      <c r="D11" s="11"/>
      <c r="E11" s="11" t="s">
        <v>197</v>
      </c>
      <c r="F11" s="11"/>
      <c r="G11" s="16" t="s">
        <v>225</v>
      </c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370</v>
      </c>
      <c r="C12" s="19">
        <v>8.3299999999999999E-2</v>
      </c>
      <c r="D12" s="19"/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371</v>
      </c>
      <c r="C13" s="19">
        <v>8.3299999999999999E-2</v>
      </c>
      <c r="D13" s="19"/>
      <c r="E13" s="19" t="s">
        <v>197</v>
      </c>
      <c r="F13" s="19"/>
      <c r="G13" s="20"/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373</v>
      </c>
      <c r="C29" s="78">
        <v>0.5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SUMIF(E29:E32,"F",C29:C32)</f>
        <v>0.75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374</v>
      </c>
      <c r="C30" s="78">
        <v>0.25</v>
      </c>
      <c r="D30" s="33" t="s">
        <v>237</v>
      </c>
      <c r="E30" s="33" t="s">
        <v>103</v>
      </c>
      <c r="F30" s="33" t="s">
        <v>225</v>
      </c>
      <c r="G30" s="16"/>
      <c r="H30" s="8"/>
      <c r="I30" s="44" t="s">
        <v>212</v>
      </c>
      <c r="J30" s="45">
        <f>SUMIF(E29:E32,"NF",C29:C32)</f>
        <v>0.25</v>
      </c>
      <c r="L30" s="65"/>
      <c r="M30" s="65"/>
    </row>
    <row r="31" spans="1:17" ht="15" thickBot="1" x14ac:dyDescent="0.35">
      <c r="A31" s="8" t="s">
        <v>194</v>
      </c>
      <c r="B31" s="86" t="s">
        <v>375</v>
      </c>
      <c r="C31" s="78">
        <v>0.25</v>
      </c>
      <c r="D31" s="33"/>
      <c r="E31" s="33" t="s">
        <v>197</v>
      </c>
      <c r="F31" s="33"/>
      <c r="G31" s="35" t="s">
        <v>225</v>
      </c>
      <c r="H31" s="8" t="s">
        <v>225</v>
      </c>
      <c r="I31" s="44" t="s">
        <v>213</v>
      </c>
      <c r="J31" s="45">
        <f>SUMIFS(C29:C32,E29:E32,"NF",G29:G32,"OUI")</f>
        <v>0.25</v>
      </c>
      <c r="L31" s="65"/>
      <c r="M31" s="65"/>
    </row>
    <row r="32" spans="1:17" ht="15" thickBot="1" x14ac:dyDescent="0.35">
      <c r="A32" s="25" t="s">
        <v>198</v>
      </c>
      <c r="B32" s="38"/>
      <c r="C32" s="67"/>
      <c r="D32" s="38"/>
      <c r="E32" s="38"/>
      <c r="F32" s="38"/>
      <c r="G32" s="39"/>
      <c r="H32" s="8"/>
      <c r="I32" s="44" t="s">
        <v>214</v>
      </c>
      <c r="J32" s="45">
        <f>SUMIFS(C29:C32,E29:E32,"F",F29:F32,"oui")</f>
        <v>0.25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0.25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5" workbookViewId="0">
      <selection activeCell="B1" sqref="B1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2.7773437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174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436</v>
      </c>
      <c r="B2" s="52" t="s">
        <v>53</v>
      </c>
      <c r="C2" s="53" t="s">
        <v>220</v>
      </c>
      <c r="D2" s="54">
        <f>SUM(Table_3545678101114151617181920212223242663[[#This Row],[Fixe]:[Retraite ]])</f>
        <v>4308103</v>
      </c>
      <c r="E2" s="55">
        <v>2000000</v>
      </c>
      <c r="F2" s="55">
        <v>1700000</v>
      </c>
      <c r="G2" s="56"/>
      <c r="H2" s="56">
        <v>569400</v>
      </c>
      <c r="I2" s="55">
        <f>13357+25346</f>
        <v>38703</v>
      </c>
      <c r="J2" s="55"/>
      <c r="K2" s="58">
        <f>((J11*J7)*F2+(J24*J20)*G2+(J33*J29)*H2)/((J7*F2)+(J20*G2)+(J29*H2))</f>
        <v>0.66559649191496029</v>
      </c>
      <c r="L2" s="59">
        <f>1-K2</f>
        <v>0.33440350808503971</v>
      </c>
      <c r="M2" s="59">
        <f>(J7*F2+J20*G2+J29*H2)
/(F2+G2+H2)</f>
        <v>0.67527099673922619</v>
      </c>
      <c r="N2" s="60">
        <f>(J7*F2+J20*G2+J29*H2)/D2</f>
        <v>0.35571572917360611</v>
      </c>
      <c r="O2" s="61">
        <f>(F2*J10+G2*J23+H2*J32)/D2</f>
        <v>9.251867933519696E-2</v>
      </c>
      <c r="P2" s="62">
        <f>(J8*F2+J21*G2+J30*H2)/D2</f>
        <v>0.17105904849535863</v>
      </c>
      <c r="Q2" s="62">
        <f>(J9*F2+J22*G2+J31*H2)/D2</f>
        <v>5.9190785364231085E-2</v>
      </c>
      <c r="R2" s="62">
        <f>(J13*F2+J26*G2+J35*H2)/(F2+G2+H2)</f>
        <v>6.2545166123204377E-2</v>
      </c>
      <c r="S2" s="62">
        <f>(J13*F2+J26*G2+J35*H2)/D2</f>
        <v>3.2947215978819451E-2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87" t="s">
        <v>437</v>
      </c>
      <c r="C7" s="23">
        <v>0.35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0.6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7" t="s">
        <v>438</v>
      </c>
      <c r="C8" s="23">
        <v>0.25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0.39999999999999997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439</v>
      </c>
      <c r="C9" s="87">
        <v>0.1</v>
      </c>
      <c r="D9" s="23"/>
      <c r="E9" s="11" t="s">
        <v>197</v>
      </c>
      <c r="F9" s="11"/>
      <c r="G9" s="16"/>
      <c r="H9" s="8"/>
      <c r="I9" s="44" t="s">
        <v>213</v>
      </c>
      <c r="J9" s="45">
        <f>SUMIFS(C7:C17,E7:E17,"NF",G7:G17,"OUI")</f>
        <v>0.15000000000000002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440</v>
      </c>
      <c r="C10" s="87">
        <v>0.15</v>
      </c>
      <c r="D10" s="23"/>
      <c r="E10" s="11" t="s">
        <v>197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89" t="s">
        <v>441</v>
      </c>
      <c r="C11" s="87">
        <v>0.05</v>
      </c>
      <c r="D11" s="23"/>
      <c r="E11" s="11" t="s">
        <v>197</v>
      </c>
      <c r="F11" s="11"/>
      <c r="G11" s="16" t="s">
        <v>225</v>
      </c>
      <c r="H11" s="20" t="s">
        <v>225</v>
      </c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442</v>
      </c>
      <c r="C12" s="88">
        <v>0.05</v>
      </c>
      <c r="D12" s="23"/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371</v>
      </c>
      <c r="C13" s="87">
        <v>0.05</v>
      </c>
      <c r="D13" s="23"/>
      <c r="E13" s="19" t="s">
        <v>197</v>
      </c>
      <c r="F13" s="19"/>
      <c r="G13" s="20" t="s">
        <v>225</v>
      </c>
      <c r="H13" s="20"/>
      <c r="I13" s="44" t="s">
        <v>687</v>
      </c>
      <c r="J13" s="45">
        <f>(SUMIFS(C7:C17,E7:E17,"NF",H7:H17,"OUI"))</f>
        <v>0.05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8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443</v>
      </c>
      <c r="C29" s="78">
        <v>0.4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SUMIF(E29:E32,"F",C29:C32)</f>
        <v>0.90000000000000013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444</v>
      </c>
      <c r="C30" s="78">
        <v>0.2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SUMIF(E29:E32,"NF",C29:C32)</f>
        <v>0.1</v>
      </c>
      <c r="L30" s="65"/>
      <c r="M30" s="65"/>
    </row>
    <row r="31" spans="1:17" ht="15" thickBot="1" x14ac:dyDescent="0.35">
      <c r="A31" s="8" t="s">
        <v>194</v>
      </c>
      <c r="B31" s="86" t="s">
        <v>445</v>
      </c>
      <c r="C31" s="78">
        <v>0.1</v>
      </c>
      <c r="D31" s="33" t="s">
        <v>237</v>
      </c>
      <c r="E31" s="33" t="s">
        <v>197</v>
      </c>
      <c r="F31" s="33"/>
      <c r="G31" s="35"/>
      <c r="H31" s="8" t="s">
        <v>225</v>
      </c>
      <c r="I31" s="44" t="s">
        <v>213</v>
      </c>
      <c r="J31" s="45">
        <f>SUMIFS(C29:C32,E29:E32,"NF",G29:G32,"OUI")</f>
        <v>0</v>
      </c>
      <c r="L31" s="65"/>
      <c r="M31" s="65"/>
    </row>
    <row r="32" spans="1:17" ht="15" thickBot="1" x14ac:dyDescent="0.35">
      <c r="A32" s="25" t="s">
        <v>198</v>
      </c>
      <c r="B32" s="38" t="s">
        <v>446</v>
      </c>
      <c r="C32" s="67">
        <v>0.3</v>
      </c>
      <c r="D32" s="38" t="s">
        <v>237</v>
      </c>
      <c r="E32" s="38" t="s">
        <v>103</v>
      </c>
      <c r="F32" s="38" t="s">
        <v>225</v>
      </c>
      <c r="G32" s="39"/>
      <c r="H32" s="8"/>
      <c r="I32" s="44" t="s">
        <v>214</v>
      </c>
      <c r="J32" s="45">
        <f>SUMIFS(C29:C32,E29:E32,"F",F29:F32,"oui")</f>
        <v>0.7</v>
      </c>
      <c r="L32" s="65"/>
      <c r="M32" s="65"/>
    </row>
    <row r="33" spans="1:13" ht="15" thickBot="1" x14ac:dyDescent="0.35">
      <c r="A33" s="65"/>
      <c r="B33" s="65"/>
      <c r="C33" s="65"/>
      <c r="D33" s="65"/>
      <c r="E33" s="65"/>
      <c r="F33" s="65"/>
      <c r="G33" s="65"/>
      <c r="H33" s="39"/>
      <c r="I33" s="44" t="s">
        <v>239</v>
      </c>
      <c r="J33" s="70">
        <f>SUMIFS(C29:C32,D29:D32,"CT",E29:E32,"F")/J29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0" workbookViewId="0">
      <selection activeCell="L3" sqref="L3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48" t="s">
        <v>215</v>
      </c>
      <c r="B1" s="48" t="s">
        <v>216</v>
      </c>
      <c r="C1" s="49" t="s">
        <v>217</v>
      </c>
      <c r="D1" s="50" t="s">
        <v>218</v>
      </c>
      <c r="E1" s="49" t="s">
        <v>172</v>
      </c>
      <c r="F1" s="49" t="s">
        <v>173</v>
      </c>
      <c r="G1" s="49" t="s">
        <v>521</v>
      </c>
      <c r="H1" s="49" t="s">
        <v>175</v>
      </c>
      <c r="I1" s="49" t="s">
        <v>176</v>
      </c>
      <c r="J1" s="49" t="s">
        <v>177</v>
      </c>
      <c r="K1" s="50" t="s">
        <v>178</v>
      </c>
      <c r="L1" s="50" t="s">
        <v>179</v>
      </c>
      <c r="M1" s="50" t="s">
        <v>598</v>
      </c>
      <c r="N1" s="49" t="s">
        <v>226</v>
      </c>
      <c r="O1" s="50" t="s">
        <v>227</v>
      </c>
      <c r="P1" s="49" t="s">
        <v>180</v>
      </c>
      <c r="Q1" s="49" t="s">
        <v>181</v>
      </c>
      <c r="R1" s="49" t="s">
        <v>682</v>
      </c>
      <c r="S1" s="49" t="s">
        <v>683</v>
      </c>
    </row>
    <row r="2" spans="1:24" ht="28.8" x14ac:dyDescent="0.3">
      <c r="A2" s="51" t="s">
        <v>520</v>
      </c>
      <c r="B2" s="52" t="s">
        <v>58</v>
      </c>
      <c r="C2" s="53" t="s">
        <v>319</v>
      </c>
      <c r="D2" s="54">
        <f>SUM(Table_35456781011141516171819202122232427282930313264[[#This Row],[Fixe]:[Retraite ]])</f>
        <v>3125927</v>
      </c>
      <c r="E2" s="55">
        <v>750000</v>
      </c>
      <c r="F2" s="55">
        <v>994798</v>
      </c>
      <c r="G2" s="56">
        <v>291822</v>
      </c>
      <c r="H2" s="56">
        <v>1077872</v>
      </c>
      <c r="I2" s="55">
        <f>6597+4838</f>
        <v>11435</v>
      </c>
      <c r="J2" s="55"/>
      <c r="K2" s="58">
        <f>((J11*J7)*F2+(J24*J20)*G2+(J33*J29)*H2)/((J7*F2)+(J20*G2)+(J29*H2))</f>
        <v>0.44966609468038699</v>
      </c>
      <c r="L2" s="59">
        <f>1-K2</f>
        <v>0.55033390531961301</v>
      </c>
      <c r="M2" s="59">
        <f>(J7*F2+J20*G2+J29*H2)
/(F2+G2+H2)</f>
        <v>0.84207237749165575</v>
      </c>
      <c r="N2" s="60">
        <f>(J7*F2+J20*G2+J29*H2)/D2</f>
        <v>0.63695454180471911</v>
      </c>
      <c r="O2" s="61">
        <f>(F2*J10+G2*J23+H2*J32)/D2</f>
        <v>0</v>
      </c>
      <c r="P2" s="62">
        <f>(J8*F2+J21*G2+J30*H2)/D2</f>
        <v>0.11945851582586543</v>
      </c>
      <c r="Q2" s="62">
        <f>(J9*F2+J22*G2+J31*H2)/D2</f>
        <v>0.11945851582586543</v>
      </c>
      <c r="R2" s="62">
        <f>(J13*F2+J26*G2+J35*H2)/(F2+G2+H2)</f>
        <v>5.7927622508344295E-2</v>
      </c>
      <c r="S2" s="62">
        <f>(J13*F2+J26*G2+J35*H2)/D2</f>
        <v>4.3817210062806977E-2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494</v>
      </c>
      <c r="C7" s="87">
        <v>0.35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0.9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522</v>
      </c>
      <c r="C8" s="87">
        <v>0.27500000000000002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0.1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523</v>
      </c>
      <c r="C9" s="87">
        <v>0.27500000000000002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284</v>
      </c>
      <c r="C10" s="87">
        <v>0.1</v>
      </c>
      <c r="D10" s="23"/>
      <c r="E10" s="11" t="s">
        <v>197</v>
      </c>
      <c r="F10" s="11"/>
      <c r="G10" s="16" t="s">
        <v>225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/>
      <c r="C11" s="87"/>
      <c r="D11" s="23"/>
      <c r="E11" s="11"/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/>
      <c r="C12" s="88"/>
      <c r="D12" s="23"/>
      <c r="E12" s="19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/>
      <c r="C13" s="87"/>
      <c r="D13" s="23"/>
      <c r="E13" s="19"/>
      <c r="F13" s="19"/>
      <c r="G13" s="20"/>
      <c r="H13" s="20"/>
      <c r="I13" s="44" t="s">
        <v>687</v>
      </c>
      <c r="J13" s="45">
        <f>(SUMIFS(C7:C17,E7:E17,"NF",H7:H17,"OUI"))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8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521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66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 t="s">
        <v>524</v>
      </c>
      <c r="C20" s="78">
        <v>0.3</v>
      </c>
      <c r="D20" s="33" t="s">
        <v>237</v>
      </c>
      <c r="E20" s="33" t="s">
        <v>103</v>
      </c>
      <c r="F20" s="34"/>
      <c r="G20" s="35"/>
      <c r="H20" s="8"/>
      <c r="I20" s="44" t="s">
        <v>211</v>
      </c>
      <c r="J20" s="45">
        <f>SUMIF(E20:E24,"F",C20:C24)</f>
        <v>0.8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 t="s">
        <v>525</v>
      </c>
      <c r="C21" s="78">
        <v>0.25</v>
      </c>
      <c r="D21" s="33" t="s">
        <v>237</v>
      </c>
      <c r="E21" s="33" t="s">
        <v>103</v>
      </c>
      <c r="F21" s="33"/>
      <c r="G21" s="35"/>
      <c r="H21" s="8"/>
      <c r="I21" s="44" t="s">
        <v>212</v>
      </c>
      <c r="J21" s="45">
        <f>SUMIF(E20:E24,"NF",C20:C24)</f>
        <v>0.2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 t="s">
        <v>526</v>
      </c>
      <c r="C22" s="78">
        <v>0.25</v>
      </c>
      <c r="D22" s="33" t="s">
        <v>237</v>
      </c>
      <c r="E22" s="33" t="s">
        <v>103</v>
      </c>
      <c r="F22" s="33"/>
      <c r="G22" s="35"/>
      <c r="H22" s="8"/>
      <c r="I22" s="44" t="s">
        <v>213</v>
      </c>
      <c r="J22" s="45">
        <f>SUMIFS(C20:C24,E20:E24,"NF",G20:G24,"OUI")</f>
        <v>0.2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 t="s">
        <v>528</v>
      </c>
      <c r="C23" s="78">
        <v>0.1</v>
      </c>
      <c r="D23" s="33"/>
      <c r="E23" s="33" t="s">
        <v>197</v>
      </c>
      <c r="F23" s="33"/>
      <c r="G23" s="35" t="s">
        <v>225</v>
      </c>
      <c r="H23" s="8" t="s">
        <v>225</v>
      </c>
      <c r="I23" s="44" t="s">
        <v>214</v>
      </c>
      <c r="J23" s="45">
        <f>SUMIFS(C20:C24,E20:E24,"F",F20:F24,"oui")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 t="s">
        <v>527</v>
      </c>
      <c r="C24" s="91">
        <v>0.1</v>
      </c>
      <c r="D24" s="38"/>
      <c r="E24" s="38" t="s">
        <v>197</v>
      </c>
      <c r="F24" s="38"/>
      <c r="G24" s="39" t="s">
        <v>225</v>
      </c>
      <c r="H24" s="25"/>
      <c r="I24" s="44" t="s">
        <v>239</v>
      </c>
      <c r="J24" s="94">
        <f>SUMIFS(C20:C24,D20:D24,"CT",E20:E24,"F")/J20</f>
        <v>0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>
        <f>1-J24</f>
        <v>1</v>
      </c>
      <c r="K25" s="65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J26" s="45">
        <f>SUMIFS(C20:C26,E20:E26,"NF",H20:H26,"OUI")</f>
        <v>0.1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524</v>
      </c>
      <c r="C29" s="78">
        <v>0.3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SUMIF(E29:E33,"F",C29:C33)</f>
        <v>0.8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525</v>
      </c>
      <c r="C30" s="78">
        <v>0.25</v>
      </c>
      <c r="D30" s="33" t="s">
        <v>237</v>
      </c>
      <c r="E30" s="33" t="s">
        <v>103</v>
      </c>
      <c r="F30" s="33"/>
      <c r="G30" s="35"/>
      <c r="H30" s="8"/>
      <c r="I30" s="44" t="s">
        <v>212</v>
      </c>
      <c r="J30" s="45">
        <f>SUMIF(E29:E33,"NF",C29:C33)</f>
        <v>0.2</v>
      </c>
      <c r="L30" s="65"/>
      <c r="M30" s="65"/>
    </row>
    <row r="31" spans="1:17" ht="15" thickBot="1" x14ac:dyDescent="0.35">
      <c r="A31" s="8" t="s">
        <v>194</v>
      </c>
      <c r="B31" s="17" t="s">
        <v>526</v>
      </c>
      <c r="C31" s="78">
        <v>0.25</v>
      </c>
      <c r="D31" s="33" t="s">
        <v>237</v>
      </c>
      <c r="E31" s="33" t="s">
        <v>103</v>
      </c>
      <c r="F31" s="33"/>
      <c r="G31" s="35"/>
      <c r="H31" s="8"/>
      <c r="I31" s="44" t="s">
        <v>213</v>
      </c>
      <c r="J31" s="45">
        <f>SUMIFS(C29:C33,E29:E33,"NF",G29:G33,"OUI")</f>
        <v>0.2</v>
      </c>
      <c r="L31" s="65"/>
      <c r="M31" s="65"/>
    </row>
    <row r="32" spans="1:17" ht="15" thickBot="1" x14ac:dyDescent="0.35">
      <c r="A32" s="25" t="s">
        <v>198</v>
      </c>
      <c r="B32" s="17" t="s">
        <v>528</v>
      </c>
      <c r="C32" s="78">
        <v>0.1</v>
      </c>
      <c r="D32" s="33"/>
      <c r="E32" s="33" t="s">
        <v>197</v>
      </c>
      <c r="F32" s="33"/>
      <c r="G32" s="35" t="s">
        <v>225</v>
      </c>
      <c r="H32" s="8" t="s">
        <v>225</v>
      </c>
      <c r="I32" s="44" t="s">
        <v>214</v>
      </c>
      <c r="J32" s="45">
        <f>SUMIFS(C29:C33,E29:E33,"F",F29:F33,"oui")</f>
        <v>0</v>
      </c>
      <c r="L32" s="65"/>
      <c r="M32" s="65"/>
    </row>
    <row r="33" spans="1:13" ht="15" thickBot="1" x14ac:dyDescent="0.35">
      <c r="A33" s="25" t="s">
        <v>200</v>
      </c>
      <c r="B33" s="26" t="s">
        <v>527</v>
      </c>
      <c r="C33" s="91">
        <v>0.1</v>
      </c>
      <c r="D33" s="38"/>
      <c r="E33" s="38" t="s">
        <v>197</v>
      </c>
      <c r="F33" s="38"/>
      <c r="G33" s="39" t="s">
        <v>225</v>
      </c>
      <c r="H33" s="39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9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0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  <col min="18" max="19" width="12.88671875" bestFit="1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532</v>
      </c>
      <c r="B2" s="52" t="s">
        <v>45</v>
      </c>
      <c r="C2" s="53" t="s">
        <v>220</v>
      </c>
      <c r="D2" s="54">
        <f>SUM(Table_354567810111415161718192021222324272829303132333448[[#This Row],[Fixe]:[Retraite ]])</f>
        <v>5011773</v>
      </c>
      <c r="E2" s="55">
        <v>1485000</v>
      </c>
      <c r="F2" s="55">
        <v>2041875</v>
      </c>
      <c r="G2" s="56"/>
      <c r="H2" s="56">
        <v>1484898</v>
      </c>
      <c r="I2" s="55"/>
      <c r="J2" s="55"/>
      <c r="K2" s="58">
        <f>((J11*J7)*F2+(J24*J20)*G2+(J33*J29)*H2)/((J7*F2)+(J20*G2)+(J29*H2))</f>
        <v>0.37696317284732289</v>
      </c>
      <c r="L2" s="59">
        <f>1-K2</f>
        <v>0.62303682715267716</v>
      </c>
      <c r="M2" s="59">
        <f>(J7*F2+J20*G2+J29*H2)
/(F2+G2+H2)</f>
        <v>0.67578009698951425</v>
      </c>
      <c r="N2" s="92">
        <f>(J7*F2+J20*G2+J29*H2)/D2</f>
        <v>0.47554488202079381</v>
      </c>
      <c r="O2" s="61">
        <f>(F2*J10+G2*J23+H2*J32)/D2</f>
        <v>0.22221148084719719</v>
      </c>
      <c r="P2" s="62">
        <f>(J8*F2+J21*G2+J30*H2)/D2</f>
        <v>0.22815279143728179</v>
      </c>
      <c r="Q2" s="62">
        <f>(J9*F2+J22*G2+J31*H2)/D2</f>
        <v>4.481572688946607E-2</v>
      </c>
      <c r="R2" s="62">
        <f>(J13*F2+J26*G2+J35*H2)/(F2+G2+H2)</f>
        <v>3.1843026188529862E-2</v>
      </c>
      <c r="S2" s="62">
        <f>(J13*F2+J26*G2+J35*H2)/D2</f>
        <v>2.2407863444733035E-2</v>
      </c>
      <c r="T2" s="96"/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533</v>
      </c>
      <c r="C7" s="87">
        <f>40%*55%</f>
        <v>0.22000000000000003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0.44000000000000006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307</v>
      </c>
      <c r="C8" s="87">
        <f>40%*55%</f>
        <v>0.22000000000000003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0.56000000000000005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534</v>
      </c>
      <c r="C9" s="87">
        <f>10%*55%</f>
        <v>5.5000000000000007E-2</v>
      </c>
      <c r="D9" s="23"/>
      <c r="E9" s="11" t="s">
        <v>197</v>
      </c>
      <c r="F9" s="11"/>
      <c r="G9" s="16" t="s">
        <v>225</v>
      </c>
      <c r="H9" s="8" t="s">
        <v>225</v>
      </c>
      <c r="I9" s="44" t="s">
        <v>213</v>
      </c>
      <c r="J9" s="45">
        <f>SUMIFS(C7:C17,E7:E17,"NF",G7:G17,"OUI")</f>
        <v>0.11000000000000001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535</v>
      </c>
      <c r="C10" s="87">
        <f>10%*55%</f>
        <v>5.5000000000000007E-2</v>
      </c>
      <c r="D10" s="23"/>
      <c r="E10" s="11" t="s">
        <v>197</v>
      </c>
      <c r="F10" s="11"/>
      <c r="G10" s="16" t="s">
        <v>225</v>
      </c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536</v>
      </c>
      <c r="C11" s="87">
        <f>30%*45%</f>
        <v>0.13500000000000001</v>
      </c>
      <c r="D11" s="23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537</v>
      </c>
      <c r="C12" s="88">
        <f>10%*45%</f>
        <v>4.5000000000000005E-2</v>
      </c>
      <c r="D12" s="23"/>
      <c r="E12" s="19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538</v>
      </c>
      <c r="C13" s="88">
        <f>10%*45%</f>
        <v>4.5000000000000005E-2</v>
      </c>
      <c r="D13" s="23"/>
      <c r="E13" s="19" t="s">
        <v>197</v>
      </c>
      <c r="F13" s="19"/>
      <c r="G13" s="20"/>
      <c r="H13" s="20"/>
      <c r="I13" s="44" t="s">
        <v>687</v>
      </c>
      <c r="J13" s="45">
        <f>SUMIFS(C7:C17,E7:E17,"NF",H7:H17,"OUI")</f>
        <v>5.5000000000000007E-2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539</v>
      </c>
      <c r="C14" s="88">
        <f>10%*45%</f>
        <v>4.5000000000000005E-2</v>
      </c>
      <c r="D14" s="19"/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688</v>
      </c>
      <c r="C15" s="88">
        <f>20%*45%</f>
        <v>9.0000000000000011E-2</v>
      </c>
      <c r="D15" s="23"/>
      <c r="E15" s="23" t="s">
        <v>197</v>
      </c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 t="s">
        <v>540</v>
      </c>
      <c r="C16" s="88">
        <f>10%*45%</f>
        <v>4.5000000000000005E-2</v>
      </c>
      <c r="D16" s="23"/>
      <c r="E16" s="23" t="s">
        <v>197</v>
      </c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 t="s">
        <v>541</v>
      </c>
      <c r="C17" s="28">
        <f>10%*45%</f>
        <v>4.5000000000000005E-2</v>
      </c>
      <c r="D17" s="28"/>
      <c r="E17" s="28" t="s">
        <v>197</v>
      </c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542</v>
      </c>
      <c r="C29" s="78">
        <v>0.75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SUMIF(E29:E33,"F",C29:C33)</f>
        <v>1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543</v>
      </c>
      <c r="C30" s="78">
        <v>0.25</v>
      </c>
      <c r="D30" s="33" t="s">
        <v>237</v>
      </c>
      <c r="E30" s="33" t="s">
        <v>103</v>
      </c>
      <c r="F30" s="33"/>
      <c r="G30" s="35"/>
      <c r="H30" s="8"/>
      <c r="I30" s="44" t="s">
        <v>212</v>
      </c>
      <c r="J30" s="45">
        <f>SUMIF(E29:E33,"NF",C29:C33)</f>
        <v>0</v>
      </c>
      <c r="L30" s="65"/>
      <c r="M30" s="65"/>
    </row>
    <row r="31" spans="1:17" ht="15" thickBot="1" x14ac:dyDescent="0.35">
      <c r="A31" s="8" t="s">
        <v>194</v>
      </c>
      <c r="B31" s="17"/>
      <c r="C31" s="78"/>
      <c r="D31" s="33"/>
      <c r="E31" s="33"/>
      <c r="F31" s="33"/>
      <c r="G31" s="35"/>
      <c r="H31" s="8"/>
      <c r="I31" s="44" t="s">
        <v>213</v>
      </c>
      <c r="J31" s="45">
        <f>SUMIFS(C29:C33,E29:E33,"NF",G29:G33,"OUI")</f>
        <v>0</v>
      </c>
      <c r="L31" s="65"/>
      <c r="M31" s="65"/>
    </row>
    <row r="32" spans="1:17" ht="15" thickBot="1" x14ac:dyDescent="0.35">
      <c r="A32" s="25" t="s">
        <v>198</v>
      </c>
      <c r="B32" s="17"/>
      <c r="C32" s="78"/>
      <c r="D32" s="33"/>
      <c r="E32" s="33"/>
      <c r="F32" s="33"/>
      <c r="G32" s="35"/>
      <c r="H32" s="8"/>
      <c r="I32" s="44" t="s">
        <v>214</v>
      </c>
      <c r="J32" s="45">
        <f>SUMIFS(C29:C33,E29:E33,"F",F29:F33,"oui")</f>
        <v>0.75</v>
      </c>
      <c r="L32" s="65"/>
      <c r="M32" s="65"/>
    </row>
    <row r="33" spans="1:13" ht="15" thickBot="1" x14ac:dyDescent="0.35">
      <c r="A33" s="25" t="s">
        <v>200</v>
      </c>
      <c r="B33" s="26"/>
      <c r="C33" s="91"/>
      <c r="D33" s="38"/>
      <c r="E33" s="38"/>
      <c r="F33" s="38"/>
      <c r="G33" s="39"/>
      <c r="H33" s="25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4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43.2" x14ac:dyDescent="0.3">
      <c r="A2" s="51" t="s">
        <v>550</v>
      </c>
      <c r="B2" s="52" t="s">
        <v>56</v>
      </c>
      <c r="C2" s="53" t="s">
        <v>220</v>
      </c>
      <c r="D2" s="54">
        <f>SUM(Table_3545678101114151617181920212223242728293031323334353650[[#This Row],[Fixe]:[Retraite ]])</f>
        <v>3573244</v>
      </c>
      <c r="E2" s="55">
        <v>950004</v>
      </c>
      <c r="F2" s="55">
        <v>1231248</v>
      </c>
      <c r="G2" s="56"/>
      <c r="H2" s="56">
        <v>1376749</v>
      </c>
      <c r="I2" s="55">
        <v>15243</v>
      </c>
      <c r="J2" s="55"/>
      <c r="K2" s="59">
        <f>((J11*J7)*F2+(J24*J20)*G2+(J33*J29)*H2)/((J7*F2)+(J20*G2)+(J29*H2))</f>
        <v>0.35985299561117451</v>
      </c>
      <c r="L2" s="59">
        <f>1-K2</f>
        <v>0.64014700438882555</v>
      </c>
      <c r="M2" s="59">
        <f>(J7*F2+J20*G2+J29*H2)
/(F2+G2+H2)</f>
        <v>0.5772527422385838</v>
      </c>
      <c r="N2" s="92">
        <f>(J7*F2+J20*G2+J29*H2)/D2</f>
        <v>0.42131839303445273</v>
      </c>
      <c r="O2" s="61">
        <f>(F2*J10+G2*J23+H2*J32)/D2</f>
        <v>7.7058773484262474E-2</v>
      </c>
      <c r="P2" s="62">
        <f>(J8*F2+J21*G2+J30*H2)/D2</f>
        <v>0.30854976038580073</v>
      </c>
      <c r="Q2" s="62">
        <f>(J9*F2+J22*G2+J31*H2)/D2</f>
        <v>8.5360022993112142E-2</v>
      </c>
      <c r="R2" s="62">
        <f>(J13*F2+J26*G2+J35*H2)/(F2+G2+H2)</f>
        <v>9.8068467870170109E-2</v>
      </c>
      <c r="S2" s="62">
        <f>(J13*F2+J26*G2+J35*H2)/D2</f>
        <v>7.1577051553154511E-2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551</v>
      </c>
      <c r="C7" s="87">
        <v>0.2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0.43999999999999995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552</v>
      </c>
      <c r="C8" s="87">
        <v>0.15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0.56000000000000005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553</v>
      </c>
      <c r="C9" s="87">
        <v>0.09</v>
      </c>
      <c r="D9" s="23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0.08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554</v>
      </c>
      <c r="C10" s="87">
        <v>0.04</v>
      </c>
      <c r="D10" s="23" t="s">
        <v>191</v>
      </c>
      <c r="E10" s="11" t="s">
        <v>197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555</v>
      </c>
      <c r="C11" s="87">
        <v>0.04</v>
      </c>
      <c r="D11" s="23" t="s">
        <v>191</v>
      </c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556</v>
      </c>
      <c r="C12" s="88">
        <v>0.04</v>
      </c>
      <c r="D12" s="23" t="s">
        <v>689</v>
      </c>
      <c r="E12" s="19" t="s">
        <v>197</v>
      </c>
      <c r="F12" s="19"/>
      <c r="G12" s="20" t="s">
        <v>225</v>
      </c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557</v>
      </c>
      <c r="C13" s="88">
        <v>0.04</v>
      </c>
      <c r="D13" s="23" t="s">
        <v>191</v>
      </c>
      <c r="E13" s="19" t="s">
        <v>197</v>
      </c>
      <c r="F13" s="19"/>
      <c r="G13" s="20" t="s">
        <v>225</v>
      </c>
      <c r="H13" s="20" t="s">
        <v>225</v>
      </c>
      <c r="I13" s="44" t="s">
        <v>687</v>
      </c>
      <c r="J13" s="45">
        <f>SUMIFS(C7:C17,E7:E17,"NF",H7:H17,"OUI")</f>
        <v>0.04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322</v>
      </c>
      <c r="C14" s="88">
        <v>0.12</v>
      </c>
      <c r="D14" s="19" t="s">
        <v>237</v>
      </c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558</v>
      </c>
      <c r="C15" s="88">
        <v>0.08</v>
      </c>
      <c r="D15" s="23" t="s">
        <v>237</v>
      </c>
      <c r="E15" s="23" t="s">
        <v>197</v>
      </c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 t="s">
        <v>559</v>
      </c>
      <c r="C16" s="88">
        <v>0.12</v>
      </c>
      <c r="D16" s="23" t="s">
        <v>191</v>
      </c>
      <c r="E16" s="23" t="s">
        <v>197</v>
      </c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 t="s">
        <v>690</v>
      </c>
      <c r="C17" s="28">
        <v>0.08</v>
      </c>
      <c r="D17" s="28" t="s">
        <v>191</v>
      </c>
      <c r="E17" s="28" t="s">
        <v>197</v>
      </c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560</v>
      </c>
      <c r="C29" s="78">
        <v>0.25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SUMIF(E29:E33,"F",C29:C33)</f>
        <v>0.7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551</v>
      </c>
      <c r="C30" s="78">
        <v>0.25</v>
      </c>
      <c r="D30" s="33" t="s">
        <v>237</v>
      </c>
      <c r="E30" s="33" t="s">
        <v>103</v>
      </c>
      <c r="F30" s="33"/>
      <c r="G30" s="35"/>
      <c r="H30" s="8"/>
      <c r="I30" s="44" t="s">
        <v>212</v>
      </c>
      <c r="J30" s="45">
        <f>SUMIF(E29:E33,"NF",C29:C33)</f>
        <v>0.3</v>
      </c>
      <c r="L30" s="65"/>
      <c r="M30" s="65"/>
    </row>
    <row r="31" spans="1:17" ht="15" thickBot="1" x14ac:dyDescent="0.35">
      <c r="A31" s="8" t="s">
        <v>194</v>
      </c>
      <c r="B31" s="17" t="s">
        <v>561</v>
      </c>
      <c r="C31" s="78">
        <v>0.15</v>
      </c>
      <c r="D31" s="33"/>
      <c r="E31" s="33" t="s">
        <v>197</v>
      </c>
      <c r="F31" s="33"/>
      <c r="G31" s="35"/>
      <c r="H31" s="8" t="s">
        <v>225</v>
      </c>
      <c r="I31" s="44" t="s">
        <v>213</v>
      </c>
      <c r="J31" s="45">
        <f>SUMIFS(C29:C33,E29:E33,"NF",G29:G33,"OUI")</f>
        <v>0.15</v>
      </c>
      <c r="L31" s="65"/>
      <c r="M31" s="65"/>
    </row>
    <row r="32" spans="1:17" ht="15" thickBot="1" x14ac:dyDescent="0.35">
      <c r="A32" s="25" t="s">
        <v>198</v>
      </c>
      <c r="B32" s="17" t="s">
        <v>562</v>
      </c>
      <c r="C32" s="78">
        <v>0.15</v>
      </c>
      <c r="D32" s="33"/>
      <c r="E32" s="33" t="s">
        <v>197</v>
      </c>
      <c r="F32" s="33"/>
      <c r="G32" s="35" t="s">
        <v>225</v>
      </c>
      <c r="H32" s="8"/>
      <c r="I32" s="44" t="s">
        <v>214</v>
      </c>
      <c r="J32" s="45">
        <f>SUMIFS(C29:C33,E29:E33,"F",F29:F33,"oui")</f>
        <v>0.2</v>
      </c>
      <c r="L32" s="65"/>
      <c r="M32" s="65"/>
    </row>
    <row r="33" spans="1:13" ht="15" thickBot="1" x14ac:dyDescent="0.35">
      <c r="A33" s="25" t="s">
        <v>200</v>
      </c>
      <c r="B33" s="26" t="s">
        <v>563</v>
      </c>
      <c r="C33" s="91">
        <v>0.2</v>
      </c>
      <c r="D33" s="38" t="s">
        <v>237</v>
      </c>
      <c r="E33" s="38" t="s">
        <v>103</v>
      </c>
      <c r="F33" s="38" t="s">
        <v>225</v>
      </c>
      <c r="G33" s="39"/>
      <c r="H33" s="25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3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0.15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4" workbookViewId="0">
      <selection activeCell="S2" sqref="S2"/>
    </sheetView>
  </sheetViews>
  <sheetFormatPr baseColWidth="10" defaultRowHeight="14.4" x14ac:dyDescent="0.3"/>
  <cols>
    <col min="2" max="2" width="23.109375" customWidth="1"/>
    <col min="4" max="4" width="17" customWidth="1"/>
    <col min="5" max="5" width="13.88671875" bestFit="1" customWidth="1"/>
    <col min="6" max="6" width="16.33203125" bestFit="1" customWidth="1"/>
    <col min="7" max="7" width="13.77734375" bestFit="1" customWidth="1"/>
    <col min="8" max="9" width="13.88671875" bestFit="1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x14ac:dyDescent="0.3">
      <c r="A2" s="51" t="s">
        <v>305</v>
      </c>
      <c r="B2" s="52" t="s">
        <v>21</v>
      </c>
      <c r="C2" s="53" t="s">
        <v>220</v>
      </c>
      <c r="D2" s="80">
        <f>D3*0.9383</f>
        <v>7821668.7999999998</v>
      </c>
      <c r="E2" s="80">
        <f t="shared" ref="E2:J2" si="0">E3*0.9383</f>
        <v>1566961</v>
      </c>
      <c r="F2" s="80">
        <f t="shared" si="0"/>
        <v>3129230.5</v>
      </c>
      <c r="G2" s="80">
        <f t="shared" si="0"/>
        <v>0</v>
      </c>
      <c r="H2" s="80">
        <f t="shared" si="0"/>
        <v>1558516.3</v>
      </c>
      <c r="I2" s="80">
        <f t="shared" si="0"/>
        <v>1566961</v>
      </c>
      <c r="J2" s="80">
        <f t="shared" si="0"/>
        <v>0</v>
      </c>
      <c r="K2" s="59">
        <f>((J11*J7)*F2+(J24*J20)*G2+(J33*J29)*H2)/((J7*F2)+(J20*G2)+(J29*H2))</f>
        <v>0.70913957648000614</v>
      </c>
      <c r="L2" s="59">
        <f>1-K2</f>
        <v>0.29086042351999386</v>
      </c>
      <c r="M2" s="59">
        <f>(J7*F2+J20*G2+J29*H2)
/(F2+G2+H2)</f>
        <v>0.80013010408326668</v>
      </c>
      <c r="N2" s="60">
        <f>(J7*F3+J20*G3+J29*H3)/D3</f>
        <v>0.47954054702495208</v>
      </c>
      <c r="O2" s="61">
        <f>(F3*J10+G3*J23+H3*J32)/D3</f>
        <v>9.9628119001919382E-2</v>
      </c>
      <c r="P2" s="62">
        <f>(J8*F3+J21*G3+J30*H3)/D3</f>
        <v>5.9776871401151635E-2</v>
      </c>
      <c r="Q2" s="62">
        <f>(J9*F3+J22*G3+J31*H3)/D3</f>
        <v>3.9851247600767754E-2</v>
      </c>
      <c r="R2" s="62">
        <f>(J13*F2+J26*G2+J35*H2)/(F2+G2+H2)</f>
        <v>3.3246597277822261E-2</v>
      </c>
      <c r="S2" s="62">
        <f>(J13*F2+J26*G2+J35*H2)/D2</f>
        <v>1.9925623800383877E-2</v>
      </c>
    </row>
    <row r="3" spans="1:24" x14ac:dyDescent="0.3">
      <c r="A3" s="79"/>
      <c r="B3" s="66" t="s">
        <v>317</v>
      </c>
      <c r="C3" s="79" t="s">
        <v>316</v>
      </c>
      <c r="D3" s="85">
        <f>SUM(Table_354567810111351[[#This Row],[Fixe]:[Retraite ]])</f>
        <v>8336000</v>
      </c>
      <c r="E3" s="84">
        <v>1670000</v>
      </c>
      <c r="F3" s="84">
        <v>3335000</v>
      </c>
      <c r="G3" s="84"/>
      <c r="H3" s="84">
        <v>1661000</v>
      </c>
      <c r="I3" s="84">
        <f>1670000</f>
        <v>1670000</v>
      </c>
      <c r="J3" s="84"/>
      <c r="K3" s="63"/>
      <c r="L3" s="63"/>
      <c r="M3" s="63"/>
      <c r="N3" s="63"/>
      <c r="O3" s="63"/>
      <c r="P3" s="63"/>
      <c r="Q3" s="63"/>
      <c r="T3" s="64"/>
      <c r="U3" s="64"/>
      <c r="V3" s="64"/>
      <c r="W3" s="64"/>
      <c r="X3" s="64"/>
    </row>
    <row r="4" spans="1:24" x14ac:dyDescent="0.3">
      <c r="A4" s="79"/>
      <c r="B4" s="79"/>
      <c r="C4" s="79"/>
      <c r="D4" s="83"/>
      <c r="F4" s="81"/>
      <c r="G4" s="83"/>
      <c r="H4" s="81"/>
      <c r="J4" s="164"/>
      <c r="K4" s="63"/>
      <c r="L4" s="64"/>
      <c r="M4" s="64"/>
      <c r="N4" s="64"/>
      <c r="O4" s="64"/>
      <c r="P4" s="64"/>
      <c r="Q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58.2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306</v>
      </c>
      <c r="C7" s="19">
        <v>0.4</v>
      </c>
      <c r="D7" s="11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0.85000000000000009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19" t="s">
        <v>307</v>
      </c>
      <c r="C8" s="19">
        <v>0.25</v>
      </c>
      <c r="D8" s="11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308</v>
      </c>
      <c r="C9" s="19">
        <v>0.2</v>
      </c>
      <c r="D9" s="11" t="s">
        <v>191</v>
      </c>
      <c r="E9" s="11" t="s">
        <v>103</v>
      </c>
      <c r="F9" s="11"/>
      <c r="G9" s="16"/>
      <c r="H9" s="8"/>
      <c r="I9" s="44" t="s">
        <v>213</v>
      </c>
      <c r="J9" s="45">
        <f>SUMIFS(C7:C17,E7:E17,"NF",G7:G17,"OUI")</f>
        <v>0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19" t="s">
        <v>309</v>
      </c>
      <c r="C10" s="19">
        <v>0.15</v>
      </c>
      <c r="D10" s="11"/>
      <c r="E10" s="11" t="s">
        <v>310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/>
      <c r="C11" s="19"/>
      <c r="D11" s="11"/>
      <c r="E11" s="11"/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/>
      <c r="C12" s="19"/>
      <c r="D12" s="19"/>
      <c r="E12" s="19"/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/>
      <c r="C13" s="19"/>
      <c r="D13" s="19"/>
      <c r="E13" s="19"/>
      <c r="F13" s="19"/>
      <c r="G13" s="20"/>
      <c r="H13" s="20"/>
      <c r="I13" s="44" t="s">
        <v>687</v>
      </c>
      <c r="J13" s="45">
        <f>SUMIFS(C7:C17,E7:E17,"NF",H7:H17,"OUI")</f>
        <v>0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19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19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58.2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17"/>
      <c r="C20" s="32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32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25" t="s">
        <v>198</v>
      </c>
      <c r="B23" s="26"/>
      <c r="C23" s="37"/>
      <c r="D23" s="38"/>
      <c r="E23" s="38"/>
      <c r="F23" s="38"/>
      <c r="G23" s="39"/>
      <c r="H23" s="8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30"/>
      <c r="B24" s="30"/>
      <c r="C24" s="31"/>
      <c r="D24" s="30"/>
      <c r="E24" s="30"/>
      <c r="F24" s="30"/>
      <c r="G24" s="30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58.2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311</v>
      </c>
      <c r="C29" s="78">
        <v>0.5</v>
      </c>
      <c r="D29" s="33" t="s">
        <v>237</v>
      </c>
      <c r="E29" s="33" t="s">
        <v>103</v>
      </c>
      <c r="F29" s="34" t="s">
        <v>225</v>
      </c>
      <c r="G29" s="35"/>
      <c r="H29" s="8"/>
      <c r="I29" s="44" t="s">
        <v>211</v>
      </c>
      <c r="J29" s="45">
        <f>SUMIF(E29:E33,"F",C29:C33)</f>
        <v>0.7</v>
      </c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312</v>
      </c>
      <c r="C30" s="78">
        <v>0.2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SUMIF(E29:E33,"NF",C29:C33)</f>
        <v>0.30000000000000004</v>
      </c>
      <c r="L30" s="65"/>
      <c r="M30" s="65"/>
    </row>
    <row r="31" spans="1:17" ht="15" thickBot="1" x14ac:dyDescent="0.35">
      <c r="A31" s="8" t="s">
        <v>194</v>
      </c>
      <c r="B31" s="17" t="s">
        <v>313</v>
      </c>
      <c r="C31" s="78">
        <v>0.1</v>
      </c>
      <c r="D31" s="33" t="s">
        <v>237</v>
      </c>
      <c r="E31" s="33" t="s">
        <v>197</v>
      </c>
      <c r="F31" s="33"/>
      <c r="G31" s="35"/>
      <c r="H31" s="8"/>
      <c r="I31" s="44" t="s">
        <v>213</v>
      </c>
      <c r="J31" s="45">
        <f>SUMIFS(C29:C33,E29:E33,"NF",G29:G33,"OUI")</f>
        <v>0.2</v>
      </c>
      <c r="L31" s="65"/>
      <c r="M31" s="65"/>
    </row>
    <row r="32" spans="1:17" ht="15" thickBot="1" x14ac:dyDescent="0.35">
      <c r="A32" s="25" t="s">
        <v>198</v>
      </c>
      <c r="B32" s="38" t="s">
        <v>314</v>
      </c>
      <c r="C32" s="67">
        <v>0.1</v>
      </c>
      <c r="D32" s="38" t="s">
        <v>237</v>
      </c>
      <c r="E32" s="38" t="s">
        <v>197</v>
      </c>
      <c r="F32" s="38"/>
      <c r="G32" s="39" t="s">
        <v>225</v>
      </c>
      <c r="H32" s="8" t="s">
        <v>225</v>
      </c>
      <c r="I32" s="44" t="s">
        <v>214</v>
      </c>
      <c r="J32" s="45">
        <f>SUMIFS(C29:C33,E29:E33,"F",F29:F33,"oui")</f>
        <v>0.5</v>
      </c>
      <c r="L32" s="65"/>
      <c r="M32" s="65"/>
    </row>
    <row r="33" spans="1:13" ht="15" thickBot="1" x14ac:dyDescent="0.35">
      <c r="A33" s="25" t="s">
        <v>200</v>
      </c>
      <c r="B33" s="38" t="s">
        <v>315</v>
      </c>
      <c r="C33" s="67">
        <v>0.1</v>
      </c>
      <c r="D33" s="38" t="s">
        <v>237</v>
      </c>
      <c r="E33" s="38" t="s">
        <v>197</v>
      </c>
      <c r="F33" s="38"/>
      <c r="G33" s="39" t="s">
        <v>225</v>
      </c>
      <c r="H33" s="25"/>
      <c r="I33" s="44" t="s">
        <v>239</v>
      </c>
      <c r="J33" s="70">
        <f>SUMIFS(C29:C33,D29:D33,"CT",E29:E33,"F")/J29</f>
        <v>0</v>
      </c>
      <c r="L33" s="65"/>
      <c r="M33" s="65"/>
    </row>
    <row r="34" spans="1:13" ht="15" thickBot="1" x14ac:dyDescent="0.35">
      <c r="A34" s="65"/>
      <c r="B34" s="65"/>
      <c r="C34" s="65"/>
      <c r="D34" s="65"/>
      <c r="E34" s="65"/>
      <c r="F34" s="65"/>
      <c r="G34" s="65"/>
      <c r="H34" s="3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ignoredErrors>
    <ignoredError sqref="D2 I2" calculatedColumn="1"/>
  </ignoredErrors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68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469</v>
      </c>
      <c r="B2" s="52" t="s">
        <v>38</v>
      </c>
      <c r="C2" s="53" t="s">
        <v>220</v>
      </c>
      <c r="D2" s="54">
        <f>SUM(Table_354567810111415161718192021222324272852[[#This Row],[Fixe]:[Retraite ]])</f>
        <v>5331739</v>
      </c>
      <c r="E2" s="55">
        <v>1585000</v>
      </c>
      <c r="F2" s="55">
        <v>1282656</v>
      </c>
      <c r="G2" s="56">
        <v>549710</v>
      </c>
      <c r="H2" s="56">
        <v>1910398</v>
      </c>
      <c r="I2" s="55">
        <v>3975</v>
      </c>
      <c r="J2" s="55"/>
      <c r="K2" s="58">
        <f>((J11*J7)*F2+(J24*J20)*G2+(J33*J29)*H2)/((J7*F2)+(J20*G2)+(J29*H2))</f>
        <v>0.35413714403635765</v>
      </c>
      <c r="L2" s="59">
        <f>1-K2</f>
        <v>0.64586285596364235</v>
      </c>
      <c r="M2" s="59">
        <f>(J7*F2+J20*G2+J29*H2)
/(F2+G2+H2)</f>
        <v>0.47417903987534343</v>
      </c>
      <c r="N2" s="60">
        <f>(J7*F2+J20*G2+J29*H2)/D2</f>
        <v>0.33286330032284028</v>
      </c>
      <c r="O2" s="61">
        <f>(F2*J10+G2*J23+H2*J32)/D2</f>
        <v>3.583067363199887E-2</v>
      </c>
      <c r="P2" s="62">
        <f>(J8*F2+J21*G2+J30*H2)/D2</f>
        <v>0.23018267773422516</v>
      </c>
      <c r="Q2" s="62">
        <f>(J9*F2+J22*G2+J31*H2)/D2</f>
        <v>7.1661347263997741E-2</v>
      </c>
      <c r="R2" s="62">
        <f>(J13*F2+J26*G2+J35*H2)/(F2+G2+H2)</f>
        <v>8.7026240500336124E-2</v>
      </c>
      <c r="S2" s="62">
        <f>(J13*F2+J26*G2+J35*H2)/D2</f>
        <v>6.109051474575182E-2</v>
      </c>
    </row>
    <row r="3" spans="1:24" x14ac:dyDescent="0.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3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s="19" t="s">
        <v>478</v>
      </c>
      <c r="C7" s="87">
        <f>45%*70%</f>
        <v>0.315</v>
      </c>
      <c r="D7" s="23" t="s">
        <v>191</v>
      </c>
      <c r="E7" s="11" t="s">
        <v>103</v>
      </c>
      <c r="F7" s="12"/>
      <c r="G7" s="13"/>
      <c r="H7" s="8"/>
      <c r="I7" s="44" t="s">
        <v>211</v>
      </c>
      <c r="J7" s="45">
        <f>SUMIF(E7:E17,"F",C7:C17)</f>
        <v>0.49</v>
      </c>
      <c r="K7" s="65"/>
      <c r="L7" s="73"/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479</v>
      </c>
      <c r="C8" s="87">
        <f>25%*70%</f>
        <v>0.17499999999999999</v>
      </c>
      <c r="D8" s="23" t="s">
        <v>191</v>
      </c>
      <c r="E8" s="11" t="s">
        <v>103</v>
      </c>
      <c r="F8" s="14"/>
      <c r="G8" s="13"/>
      <c r="H8" s="8"/>
      <c r="I8" s="44" t="s">
        <v>212</v>
      </c>
      <c r="J8" s="45">
        <f>SUMIF(E7:E17,"NF",C7:C17)</f>
        <v>0.5099999999999999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480</v>
      </c>
      <c r="C9" s="87">
        <f>15%*70%</f>
        <v>0.105</v>
      </c>
      <c r="D9" s="23"/>
      <c r="E9" s="11" t="s">
        <v>197</v>
      </c>
      <c r="F9" s="11"/>
      <c r="G9" s="16"/>
      <c r="H9" s="8" t="s">
        <v>225</v>
      </c>
      <c r="I9" s="44" t="s">
        <v>213</v>
      </c>
      <c r="J9" s="45">
        <f>SUMIFS(C7:C17,E7:E17,"NF",G7:G17,"OUI")</f>
        <v>0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481</v>
      </c>
      <c r="C10" s="87">
        <f>15%*70%</f>
        <v>0.105</v>
      </c>
      <c r="D10" s="23"/>
      <c r="E10" s="11" t="s">
        <v>197</v>
      </c>
      <c r="F10" s="11"/>
      <c r="G10" s="16"/>
      <c r="H10" s="8"/>
      <c r="I10" s="44" t="s">
        <v>214</v>
      </c>
      <c r="J10" s="45">
        <f>SUMIFS(C7:C17,E7:E17,"F",F7:F17,"oui")</f>
        <v>0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482</v>
      </c>
      <c r="C11" s="87">
        <f>40%*30%</f>
        <v>0.12</v>
      </c>
      <c r="D11" s="23"/>
      <c r="E11" s="11" t="s">
        <v>197</v>
      </c>
      <c r="F11" s="11"/>
      <c r="G11" s="16"/>
      <c r="H11" s="20"/>
      <c r="I11" s="44" t="s">
        <v>239</v>
      </c>
      <c r="J11" s="45">
        <f>SUMIFS(C7:C17,D7:D17,"CT",E7:E17,"F")/J7</f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483</v>
      </c>
      <c r="C12" s="88">
        <f>15%*30%</f>
        <v>4.4999999999999998E-2</v>
      </c>
      <c r="D12" s="23"/>
      <c r="E12" s="19" t="s">
        <v>197</v>
      </c>
      <c r="F12" s="19"/>
      <c r="G12" s="20"/>
      <c r="H12" s="20"/>
      <c r="I12" s="44" t="s">
        <v>237</v>
      </c>
      <c r="J12" s="45">
        <f>1-J11</f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484</v>
      </c>
      <c r="C13" s="87">
        <f>20%*30%</f>
        <v>0.06</v>
      </c>
      <c r="D13" s="23"/>
      <c r="E13" s="19" t="s">
        <v>197</v>
      </c>
      <c r="F13" s="19"/>
      <c r="G13" s="20"/>
      <c r="H13" s="20"/>
      <c r="I13" s="44" t="s">
        <v>687</v>
      </c>
      <c r="J13" s="45">
        <f>SUMIFS(C7:C17,E7:E17,"NF",H7:H17,"OUI")</f>
        <v>0.105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 t="s">
        <v>485</v>
      </c>
      <c r="C14" s="88">
        <f>15%*30%</f>
        <v>4.4999999999999998E-2</v>
      </c>
      <c r="D14" s="19"/>
      <c r="E14" s="19" t="s">
        <v>197</v>
      </c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 t="s">
        <v>486</v>
      </c>
      <c r="C15" s="19">
        <f>10%*30%</f>
        <v>0.03</v>
      </c>
      <c r="D15" s="23"/>
      <c r="E15" s="23" t="s">
        <v>197</v>
      </c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19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7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/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3" t="s">
        <v>685</v>
      </c>
      <c r="I19" s="44"/>
      <c r="J19" s="44"/>
      <c r="K19" s="66"/>
      <c r="L19" s="66"/>
      <c r="M19" s="66"/>
      <c r="N19" s="64" t="s">
        <v>386</v>
      </c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8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8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8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8"/>
      <c r="I23" s="44" t="s">
        <v>214</v>
      </c>
      <c r="J23" s="45">
        <f>SUMIFS(C20:C23,E20:E23,"F",F20:F23,"oui")</f>
        <v>0</v>
      </c>
      <c r="K23" s="46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26"/>
      <c r="D24" s="38"/>
      <c r="E24" s="38"/>
      <c r="F24" s="38"/>
      <c r="G24" s="39"/>
      <c r="H24" s="25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ht="15" thickBot="1" x14ac:dyDescent="0.35">
      <c r="I26" s="44" t="s">
        <v>224</v>
      </c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3" t="s">
        <v>685</v>
      </c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17" t="s">
        <v>472</v>
      </c>
      <c r="C29" s="78">
        <v>0.3</v>
      </c>
      <c r="D29" s="33" t="s">
        <v>237</v>
      </c>
      <c r="E29" s="33" t="s">
        <v>103</v>
      </c>
      <c r="F29" s="34"/>
      <c r="G29" s="35"/>
      <c r="H29" s="8"/>
      <c r="I29" s="44" t="s">
        <v>211</v>
      </c>
      <c r="J29" s="45">
        <f>SUMIF(E29:E33,"F",C29:C33)</f>
        <v>0.6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473</v>
      </c>
      <c r="C30" s="78">
        <v>0.3</v>
      </c>
      <c r="D30" s="33" t="s">
        <v>237</v>
      </c>
      <c r="E30" s="33" t="s">
        <v>103</v>
      </c>
      <c r="F30" s="33"/>
      <c r="G30" s="16"/>
      <c r="H30" s="8"/>
      <c r="I30" s="44" t="s">
        <v>212</v>
      </c>
      <c r="J30" s="45">
        <f>SUMIF(E29:E33,"NF",C29:C33)</f>
        <v>0.30000000000000004</v>
      </c>
      <c r="L30" s="65"/>
      <c r="M30" s="65"/>
    </row>
    <row r="31" spans="1:17" ht="15" thickBot="1" x14ac:dyDescent="0.35">
      <c r="A31" s="8" t="s">
        <v>194</v>
      </c>
      <c r="B31" s="86" t="s">
        <v>474</v>
      </c>
      <c r="C31" s="78">
        <v>0.1</v>
      </c>
      <c r="D31" s="33"/>
      <c r="E31" s="33" t="s">
        <v>197</v>
      </c>
      <c r="F31" s="33"/>
      <c r="G31" s="35"/>
      <c r="H31" s="8"/>
      <c r="I31" s="44" t="s">
        <v>213</v>
      </c>
      <c r="J31" s="45">
        <f>SUMIFS(C29:C33,E29:E33,"NF",G29:G33,"OUI")</f>
        <v>0.2</v>
      </c>
      <c r="L31" s="65"/>
      <c r="M31" s="65"/>
    </row>
    <row r="32" spans="1:17" ht="15" thickBot="1" x14ac:dyDescent="0.35">
      <c r="A32" s="25" t="s">
        <v>198</v>
      </c>
      <c r="B32" s="38" t="s">
        <v>475</v>
      </c>
      <c r="C32" s="67">
        <v>0.1</v>
      </c>
      <c r="D32" s="38"/>
      <c r="E32" s="38" t="s">
        <v>197</v>
      </c>
      <c r="F32" s="38"/>
      <c r="G32" s="39" t="s">
        <v>225</v>
      </c>
      <c r="H32" s="8" t="s">
        <v>225</v>
      </c>
      <c r="I32" s="44" t="s">
        <v>214</v>
      </c>
      <c r="J32" s="45">
        <f>SUMIFS(C29:C34,E29:E34,"F",F29:F34,"oui")</f>
        <v>0.1</v>
      </c>
      <c r="L32" s="65"/>
      <c r="M32" s="65"/>
    </row>
    <row r="33" spans="1:13" ht="15" thickBot="1" x14ac:dyDescent="0.35">
      <c r="A33" s="25" t="s">
        <v>200</v>
      </c>
      <c r="B33" s="38" t="s">
        <v>476</v>
      </c>
      <c r="C33" s="67">
        <v>0.1</v>
      </c>
      <c r="D33" s="38"/>
      <c r="E33" s="38" t="s">
        <v>197</v>
      </c>
      <c r="F33" s="38"/>
      <c r="G33" s="39" t="s">
        <v>225</v>
      </c>
      <c r="H33" s="25"/>
      <c r="I33" s="44" t="s">
        <v>239</v>
      </c>
      <c r="J33" s="9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 t="s">
        <v>477</v>
      </c>
      <c r="C34" s="67">
        <v>0.1</v>
      </c>
      <c r="D34" s="38" t="s">
        <v>237</v>
      </c>
      <c r="E34" s="38" t="s">
        <v>103</v>
      </c>
      <c r="F34" s="38" t="s">
        <v>225</v>
      </c>
      <c r="G34" s="39"/>
      <c r="H34" s="3"/>
      <c r="I34" s="44" t="s">
        <v>240</v>
      </c>
      <c r="J34" s="45">
        <f>1-J33</f>
        <v>1</v>
      </c>
    </row>
    <row r="35" spans="1:13" ht="15" thickBot="1" x14ac:dyDescent="0.35">
      <c r="A35" s="65"/>
      <c r="B35" s="65"/>
      <c r="C35" s="65"/>
      <c r="D35" s="65"/>
      <c r="E35" s="65"/>
      <c r="F35" s="65"/>
      <c r="G35" s="65"/>
      <c r="H35" s="65"/>
      <c r="I35" s="44" t="s">
        <v>224</v>
      </c>
      <c r="J35" s="45">
        <f>SUMIFS(C29:C37,E29:E37,"NF",H29:H37,"OUI")</f>
        <v>0.1</v>
      </c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="75" workbookViewId="0">
      <selection activeCell="S2" sqref="S2"/>
    </sheetView>
  </sheetViews>
  <sheetFormatPr baseColWidth="10" defaultRowHeight="14.4" x14ac:dyDescent="0.3"/>
  <cols>
    <col min="4" max="4" width="17" customWidth="1"/>
    <col min="7" max="7" width="13.77734375" bestFit="1" customWidth="1"/>
    <col min="8" max="8" width="14.44140625" bestFit="1" customWidth="1"/>
    <col min="12" max="13" width="14" customWidth="1"/>
    <col min="14" max="14" width="13.109375" customWidth="1"/>
  </cols>
  <sheetData>
    <row r="1" spans="1:24" ht="86.4" x14ac:dyDescent="0.3">
      <c r="A1" s="119" t="s">
        <v>215</v>
      </c>
      <c r="B1" s="119" t="s">
        <v>216</v>
      </c>
      <c r="C1" s="119" t="s">
        <v>217</v>
      </c>
      <c r="D1" s="120" t="s">
        <v>218</v>
      </c>
      <c r="E1" s="119" t="s">
        <v>172</v>
      </c>
      <c r="F1" s="119" t="s">
        <v>173</v>
      </c>
      <c r="G1" s="119" t="s">
        <v>174</v>
      </c>
      <c r="H1" s="119" t="s">
        <v>175</v>
      </c>
      <c r="I1" s="119" t="s">
        <v>176</v>
      </c>
      <c r="J1" s="119" t="s">
        <v>177</v>
      </c>
      <c r="K1" s="120" t="s">
        <v>178</v>
      </c>
      <c r="L1" s="120" t="s">
        <v>179</v>
      </c>
      <c r="M1" s="120" t="s">
        <v>598</v>
      </c>
      <c r="N1" s="119" t="s">
        <v>226</v>
      </c>
      <c r="O1" s="120" t="s">
        <v>227</v>
      </c>
      <c r="P1" s="119" t="s">
        <v>180</v>
      </c>
      <c r="Q1" s="121" t="s">
        <v>181</v>
      </c>
      <c r="R1" s="117" t="s">
        <v>682</v>
      </c>
      <c r="S1" s="117" t="s">
        <v>683</v>
      </c>
    </row>
    <row r="2" spans="1:24" ht="28.8" x14ac:dyDescent="0.3">
      <c r="A2" s="51" t="s">
        <v>544</v>
      </c>
      <c r="B2" s="52" t="s">
        <v>37</v>
      </c>
      <c r="C2" s="53" t="s">
        <v>220</v>
      </c>
      <c r="D2" s="54">
        <f>SUM(Table_35456781011141516171819202122232427282930313233343553[[#This Row],[Fixe]:[Retraite ]])</f>
        <v>4603815</v>
      </c>
      <c r="E2" s="55">
        <v>1843000</v>
      </c>
      <c r="F2" s="55">
        <v>1931464</v>
      </c>
      <c r="G2" s="56"/>
      <c r="H2" s="56">
        <v>759685</v>
      </c>
      <c r="I2" s="55">
        <f>63220+6446</f>
        <v>69666</v>
      </c>
      <c r="J2" s="55"/>
      <c r="K2" s="58">
        <f>((J11*J7)*F2+(J24*J20)*G2+(J33*J29)*H2)/((J7*F2)+(J20*G2)+(J29*H2))</f>
        <v>0.65598385714149865</v>
      </c>
      <c r="L2" s="59">
        <f>1-K2</f>
        <v>0.34401614285850135</v>
      </c>
      <c r="M2" s="59">
        <f>(J7*F2+J20*G2+J29*H2)
/(F2+G2+H2)</f>
        <v>0.82057255098101223</v>
      </c>
      <c r="N2" s="92">
        <f>(J7*F2+J20*G2+J29*H2)/D2</f>
        <v>0.47966371368093635</v>
      </c>
      <c r="O2" s="61">
        <f>(F2*J10+G2*J23+H2*J32)/D2</f>
        <v>0.3223378871653183</v>
      </c>
      <c r="P2" s="62">
        <f>(J8*F2+J21*G2+J30*H2)/D2</f>
        <v>0.10488388434374535</v>
      </c>
      <c r="Q2" s="62">
        <f>(J9*F2+J22*G2+J31*H2)/D2</f>
        <v>4.1953553737498137E-2</v>
      </c>
      <c r="R2" s="62">
        <f>(J13*F2+J26*G2+J35*H2)/(F2+G2+H2)</f>
        <v>7.1770979607595122E-3</v>
      </c>
      <c r="S2" s="62">
        <f>(J13*F2+J26*G2+J35*H2)/D2</f>
        <v>4.1953553737498137E-3</v>
      </c>
    </row>
    <row r="3" spans="1:24" x14ac:dyDescent="0.3">
      <c r="A3" s="63"/>
      <c r="B3" s="63"/>
      <c r="C3" s="31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15" thickBot="1" x14ac:dyDescent="0.35">
      <c r="A5" s="63"/>
      <c r="B5" s="63"/>
      <c r="C5" s="31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24" ht="72.599999999999994" thickBot="1" x14ac:dyDescent="0.35">
      <c r="A6" s="3" t="s">
        <v>182</v>
      </c>
      <c r="B6" s="4" t="s">
        <v>183</v>
      </c>
      <c r="C6" s="5" t="s">
        <v>184</v>
      </c>
      <c r="D6" s="6" t="s">
        <v>185</v>
      </c>
      <c r="E6" s="6" t="s">
        <v>186</v>
      </c>
      <c r="F6" s="6" t="s">
        <v>187</v>
      </c>
      <c r="G6" s="7" t="s">
        <v>188</v>
      </c>
      <c r="H6" s="7" t="s">
        <v>685</v>
      </c>
      <c r="I6" s="64"/>
      <c r="J6" s="64"/>
      <c r="K6" s="64"/>
      <c r="L6" s="64"/>
      <c r="M6" s="64"/>
      <c r="N6" s="64"/>
      <c r="O6" s="64"/>
      <c r="P6" s="64"/>
      <c r="Q6" s="64"/>
    </row>
    <row r="7" spans="1:24" ht="15" thickBot="1" x14ac:dyDescent="0.35">
      <c r="A7" s="8" t="s">
        <v>189</v>
      </c>
      <c r="B7" t="s">
        <v>545</v>
      </c>
      <c r="C7" s="87">
        <v>0.375</v>
      </c>
      <c r="D7" s="23" t="s">
        <v>191</v>
      </c>
      <c r="E7" s="11" t="s">
        <v>103</v>
      </c>
      <c r="F7" s="12" t="s">
        <v>225</v>
      </c>
      <c r="G7" s="13"/>
      <c r="H7" s="13"/>
      <c r="I7" s="44" t="s">
        <v>211</v>
      </c>
      <c r="J7" s="45">
        <v>0.75</v>
      </c>
      <c r="K7" s="65"/>
      <c r="L7" s="73" t="s">
        <v>470</v>
      </c>
      <c r="M7" s="73"/>
      <c r="N7" s="74"/>
      <c r="O7" s="63"/>
      <c r="P7" s="30"/>
      <c r="Q7" s="30"/>
    </row>
    <row r="8" spans="1:24" ht="15" thickBot="1" x14ac:dyDescent="0.35">
      <c r="A8" s="8" t="s">
        <v>192</v>
      </c>
      <c r="B8" s="89" t="s">
        <v>546</v>
      </c>
      <c r="C8" s="87">
        <v>0.375</v>
      </c>
      <c r="D8" s="23" t="s">
        <v>191</v>
      </c>
      <c r="E8" s="11" t="s">
        <v>103</v>
      </c>
      <c r="F8" s="14"/>
      <c r="G8" s="13"/>
      <c r="H8" s="13"/>
      <c r="I8" s="44" t="s">
        <v>212</v>
      </c>
      <c r="J8" s="45">
        <v>0.25</v>
      </c>
      <c r="K8" s="65"/>
      <c r="N8" s="30"/>
      <c r="O8" s="63"/>
      <c r="P8" s="30"/>
      <c r="Q8" s="30"/>
    </row>
    <row r="9" spans="1:24" ht="15" thickBot="1" x14ac:dyDescent="0.35">
      <c r="A9" s="8" t="s">
        <v>194</v>
      </c>
      <c r="B9" s="19" t="s">
        <v>691</v>
      </c>
      <c r="C9" s="87">
        <v>0.05</v>
      </c>
      <c r="D9" s="23" t="s">
        <v>191</v>
      </c>
      <c r="E9" s="11" t="s">
        <v>197</v>
      </c>
      <c r="F9" s="11"/>
      <c r="G9" s="16" t="s">
        <v>225</v>
      </c>
      <c r="H9" s="16"/>
      <c r="I9" s="44" t="s">
        <v>213</v>
      </c>
      <c r="J9" s="45">
        <v>9.9999999999999992E-2</v>
      </c>
      <c r="K9" s="65"/>
      <c r="L9" s="65"/>
      <c r="M9" s="65"/>
      <c r="N9" s="30"/>
      <c r="O9" s="63"/>
      <c r="P9" s="30"/>
      <c r="Q9" s="30"/>
    </row>
    <row r="10" spans="1:24" ht="15" thickBot="1" x14ac:dyDescent="0.35">
      <c r="A10" s="8" t="s">
        <v>198</v>
      </c>
      <c r="B10" s="89" t="s">
        <v>692</v>
      </c>
      <c r="C10" s="87">
        <v>0.04</v>
      </c>
      <c r="D10" s="23" t="s">
        <v>191</v>
      </c>
      <c r="E10" s="11" t="s">
        <v>197</v>
      </c>
      <c r="F10" s="11"/>
      <c r="G10" s="16" t="s">
        <v>225</v>
      </c>
      <c r="H10" s="16"/>
      <c r="I10" s="44" t="s">
        <v>214</v>
      </c>
      <c r="J10" s="45">
        <v>0.375</v>
      </c>
      <c r="K10" s="65"/>
      <c r="L10" s="65"/>
      <c r="M10" s="65"/>
      <c r="N10" s="30"/>
      <c r="O10" s="63"/>
      <c r="P10" s="30"/>
      <c r="Q10" s="30"/>
    </row>
    <row r="11" spans="1:24" ht="15" thickBot="1" x14ac:dyDescent="0.35">
      <c r="A11" s="8" t="s">
        <v>200</v>
      </c>
      <c r="B11" s="19" t="s">
        <v>693</v>
      </c>
      <c r="C11" s="87">
        <v>0.01</v>
      </c>
      <c r="D11" s="23" t="s">
        <v>191</v>
      </c>
      <c r="E11" s="11" t="s">
        <v>197</v>
      </c>
      <c r="F11" s="11"/>
      <c r="G11" s="16" t="s">
        <v>225</v>
      </c>
      <c r="H11" s="16" t="s">
        <v>225</v>
      </c>
      <c r="I11" s="44" t="s">
        <v>239</v>
      </c>
      <c r="J11" s="45">
        <v>1</v>
      </c>
      <c r="K11" s="47"/>
      <c r="L11" s="47"/>
      <c r="M11" s="47"/>
      <c r="N11" s="30"/>
      <c r="O11" s="63"/>
      <c r="P11" s="30"/>
      <c r="Q11" s="30"/>
    </row>
    <row r="12" spans="1:24" ht="15" thickBot="1" x14ac:dyDescent="0.35">
      <c r="A12" s="8" t="s">
        <v>202</v>
      </c>
      <c r="B12" s="19" t="s">
        <v>694</v>
      </c>
      <c r="C12" s="88">
        <v>0.05</v>
      </c>
      <c r="D12" s="23" t="s">
        <v>191</v>
      </c>
      <c r="E12" s="19" t="s">
        <v>197</v>
      </c>
      <c r="F12" s="19"/>
      <c r="G12" s="20"/>
      <c r="H12" s="20"/>
      <c r="I12" s="44" t="s">
        <v>237</v>
      </c>
      <c r="J12" s="45">
        <v>0</v>
      </c>
      <c r="K12" s="46"/>
      <c r="L12" s="46"/>
      <c r="M12" s="46"/>
      <c r="N12" s="30"/>
      <c r="O12" s="63"/>
      <c r="P12" s="30"/>
      <c r="Q12" s="30"/>
    </row>
    <row r="13" spans="1:24" ht="15" thickBot="1" x14ac:dyDescent="0.35">
      <c r="A13" s="8" t="s">
        <v>203</v>
      </c>
      <c r="B13" s="19" t="s">
        <v>547</v>
      </c>
      <c r="C13" s="88">
        <v>0.1</v>
      </c>
      <c r="D13" s="23" t="s">
        <v>191</v>
      </c>
      <c r="E13" s="19" t="s">
        <v>197</v>
      </c>
      <c r="F13" s="19"/>
      <c r="G13" s="20"/>
      <c r="H13" s="20"/>
      <c r="I13" s="44" t="s">
        <v>687</v>
      </c>
      <c r="J13" s="45">
        <v>0.01</v>
      </c>
      <c r="K13" s="46"/>
      <c r="L13" s="46"/>
      <c r="M13" s="46"/>
      <c r="N13" s="30"/>
      <c r="O13" s="63"/>
      <c r="P13" s="30"/>
      <c r="Q13" s="30"/>
    </row>
    <row r="14" spans="1:24" x14ac:dyDescent="0.3">
      <c r="A14" s="8" t="s">
        <v>204</v>
      </c>
      <c r="B14" s="19"/>
      <c r="C14" s="88"/>
      <c r="D14" s="19"/>
      <c r="E14" s="19"/>
      <c r="F14" s="19"/>
      <c r="G14" s="20"/>
      <c r="H14" s="20"/>
      <c r="I14" s="46"/>
      <c r="J14" s="46"/>
      <c r="K14" s="46"/>
      <c r="L14" s="46"/>
      <c r="M14" s="46"/>
      <c r="N14" s="30"/>
      <c r="O14" s="63"/>
      <c r="P14" s="30"/>
      <c r="Q14" s="30"/>
    </row>
    <row r="15" spans="1:24" x14ac:dyDescent="0.3">
      <c r="A15" s="8" t="s">
        <v>205</v>
      </c>
      <c r="B15" s="19"/>
      <c r="C15" s="88"/>
      <c r="D15" s="23"/>
      <c r="E15" s="23"/>
      <c r="F15" s="23"/>
      <c r="G15" s="24"/>
      <c r="H15" s="24"/>
      <c r="I15" s="46"/>
      <c r="J15" s="46"/>
      <c r="K15" s="46"/>
      <c r="L15" s="46"/>
      <c r="M15" s="46"/>
      <c r="N15" s="30"/>
      <c r="O15" s="63"/>
      <c r="P15" s="30"/>
      <c r="Q15" s="30"/>
    </row>
    <row r="16" spans="1:24" x14ac:dyDescent="0.3">
      <c r="A16" s="8" t="s">
        <v>206</v>
      </c>
      <c r="B16" s="19"/>
      <c r="C16" s="88"/>
      <c r="D16" s="23"/>
      <c r="E16" s="23"/>
      <c r="F16" s="23"/>
      <c r="G16" s="24"/>
      <c r="H16" s="24"/>
      <c r="I16" s="46"/>
      <c r="J16" s="46"/>
      <c r="K16" s="46"/>
      <c r="L16" s="46"/>
      <c r="M16" s="46"/>
      <c r="N16" s="30"/>
      <c r="O16" s="63"/>
      <c r="P16" s="30"/>
      <c r="Q16" s="30"/>
    </row>
    <row r="17" spans="1:17" ht="15" thickBot="1" x14ac:dyDescent="0.35">
      <c r="A17" s="25" t="s">
        <v>207</v>
      </c>
      <c r="B17" s="26"/>
      <c r="C17" s="28"/>
      <c r="D17" s="28"/>
      <c r="E17" s="28"/>
      <c r="F17" s="28"/>
      <c r="G17" s="29"/>
      <c r="H17" s="29"/>
      <c r="I17" s="46"/>
      <c r="J17" s="46"/>
      <c r="K17" s="46"/>
      <c r="L17" s="46"/>
      <c r="M17" s="46"/>
      <c r="N17" s="30"/>
      <c r="O17" s="30"/>
      <c r="P17" s="30"/>
      <c r="Q17" s="30"/>
    </row>
    <row r="18" spans="1:17" ht="15" thickBot="1" x14ac:dyDescent="0.35">
      <c r="A18" s="30"/>
      <c r="B18" s="30"/>
      <c r="C18" s="31"/>
      <c r="D18" s="30"/>
      <c r="E18" s="30"/>
      <c r="F18" s="30"/>
      <c r="G18" s="30"/>
      <c r="H18" s="30"/>
      <c r="I18" s="46"/>
      <c r="J18" s="46"/>
      <c r="K18" s="46"/>
      <c r="L18" s="46"/>
      <c r="M18" s="46"/>
      <c r="N18" s="30"/>
      <c r="O18" s="30"/>
      <c r="P18" s="30"/>
      <c r="Q18" s="30"/>
    </row>
    <row r="19" spans="1:17" ht="72.599999999999994" thickBot="1" x14ac:dyDescent="0.35">
      <c r="A19" s="3" t="s">
        <v>174</v>
      </c>
      <c r="B19" s="4" t="s">
        <v>183</v>
      </c>
      <c r="C19" s="5" t="s">
        <v>184</v>
      </c>
      <c r="D19" s="6" t="s">
        <v>208</v>
      </c>
      <c r="E19" s="6" t="s">
        <v>186</v>
      </c>
      <c r="F19" s="6" t="s">
        <v>187</v>
      </c>
      <c r="G19" s="7" t="s">
        <v>188</v>
      </c>
      <c r="H19" s="64"/>
      <c r="I19" s="44"/>
      <c r="J19" s="44"/>
      <c r="K19" s="66"/>
      <c r="L19" s="66"/>
      <c r="M19" s="66"/>
      <c r="N19" s="64"/>
      <c r="O19" s="64"/>
      <c r="P19" s="64"/>
      <c r="Q19" s="64"/>
    </row>
    <row r="20" spans="1:17" ht="15" thickBot="1" x14ac:dyDescent="0.35">
      <c r="A20" s="8" t="s">
        <v>189</v>
      </c>
      <c r="B20" s="43"/>
      <c r="C20" s="78"/>
      <c r="D20" s="33"/>
      <c r="E20" s="33"/>
      <c r="F20" s="34"/>
      <c r="G20" s="35"/>
      <c r="H20" s="30"/>
      <c r="I20" s="44" t="s">
        <v>211</v>
      </c>
      <c r="J20" s="45">
        <f>SUMIF(E20:E23,"F",C20:C23)</f>
        <v>0</v>
      </c>
      <c r="K20" s="65"/>
      <c r="L20" s="65"/>
      <c r="M20" s="65"/>
      <c r="N20" s="30"/>
      <c r="O20" s="30"/>
      <c r="P20" s="30"/>
      <c r="Q20" s="30"/>
    </row>
    <row r="21" spans="1:17" ht="15" thickBot="1" x14ac:dyDescent="0.35">
      <c r="A21" s="8" t="s">
        <v>192</v>
      </c>
      <c r="B21" s="17"/>
      <c r="C21" s="78"/>
      <c r="D21" s="33"/>
      <c r="E21" s="33"/>
      <c r="F21" s="33"/>
      <c r="G21" s="35"/>
      <c r="H21" s="30"/>
      <c r="I21" s="44" t="s">
        <v>212</v>
      </c>
      <c r="J21" s="45">
        <f>SUMIF(E20:E23,"NF",C20:C23)</f>
        <v>0</v>
      </c>
      <c r="K21" s="65"/>
      <c r="L21" s="65"/>
      <c r="M21" s="65"/>
      <c r="N21" s="30"/>
      <c r="O21" s="30"/>
      <c r="P21" s="30"/>
      <c r="Q21" s="30"/>
    </row>
    <row r="22" spans="1:17" ht="15" thickBot="1" x14ac:dyDescent="0.35">
      <c r="A22" s="8" t="s">
        <v>194</v>
      </c>
      <c r="B22" s="17"/>
      <c r="C22" s="78"/>
      <c r="D22" s="33"/>
      <c r="E22" s="33"/>
      <c r="F22" s="33"/>
      <c r="G22" s="35"/>
      <c r="H22" s="30"/>
      <c r="I22" s="44" t="s">
        <v>213</v>
      </c>
      <c r="J22" s="45">
        <f>SUMIFS(C20:C23,E20:E23,"NF",G20:G23,"OUI")</f>
        <v>0</v>
      </c>
      <c r="K22" s="65"/>
      <c r="L22" s="65"/>
      <c r="M22" s="65"/>
      <c r="N22" s="30"/>
      <c r="O22" s="30"/>
      <c r="P22" s="30"/>
      <c r="Q22" s="30"/>
    </row>
    <row r="23" spans="1:17" ht="15" thickBot="1" x14ac:dyDescent="0.35">
      <c r="A23" s="8" t="s">
        <v>198</v>
      </c>
      <c r="B23" s="17"/>
      <c r="C23" s="78"/>
      <c r="D23" s="33"/>
      <c r="E23" s="33"/>
      <c r="F23" s="33"/>
      <c r="G23" s="35"/>
      <c r="H23" s="30"/>
      <c r="I23" s="44" t="s">
        <v>214</v>
      </c>
      <c r="J23" s="45">
        <f>SUMIFS(C20:C23,E20:E23,"F",F20:F23,"oui")</f>
        <v>0</v>
      </c>
      <c r="K23" s="65"/>
      <c r="L23" s="46"/>
      <c r="M23" s="46"/>
      <c r="N23" s="30"/>
      <c r="O23" s="30"/>
      <c r="P23" s="30"/>
      <c r="Q23" s="30"/>
    </row>
    <row r="24" spans="1:17" ht="15" thickBot="1" x14ac:dyDescent="0.35">
      <c r="A24" s="25" t="s">
        <v>200</v>
      </c>
      <c r="B24" s="26"/>
      <c r="C24" s="91"/>
      <c r="D24" s="38"/>
      <c r="E24" s="38"/>
      <c r="F24" s="38"/>
      <c r="G24" s="39"/>
      <c r="H24" s="30"/>
      <c r="I24" s="44" t="s">
        <v>239</v>
      </c>
      <c r="K24" s="65"/>
      <c r="L24" s="46"/>
      <c r="M24" s="46"/>
      <c r="N24" s="30"/>
      <c r="O24" s="30"/>
      <c r="P24" s="30"/>
      <c r="Q24" s="30"/>
    </row>
    <row r="25" spans="1:17" ht="15" thickBot="1" x14ac:dyDescent="0.35">
      <c r="I25" s="44" t="s">
        <v>237</v>
      </c>
      <c r="J25" s="45"/>
      <c r="K25" s="65"/>
      <c r="L25" s="66"/>
      <c r="M25" s="66"/>
      <c r="N25" s="64"/>
      <c r="O25" s="64"/>
      <c r="P25" s="64"/>
      <c r="Q25" s="64"/>
    </row>
    <row r="26" spans="1:17" x14ac:dyDescent="0.3">
      <c r="K26" s="65"/>
      <c r="L26" s="65"/>
      <c r="M26" s="65"/>
      <c r="N26" s="30"/>
      <c r="O26" s="30"/>
      <c r="P26" s="30"/>
      <c r="Q26" s="30"/>
    </row>
    <row r="27" spans="1:17" ht="15" thickBot="1" x14ac:dyDescent="0.35">
      <c r="K27" s="65"/>
      <c r="L27" s="65"/>
      <c r="M27" s="65"/>
      <c r="N27" s="30"/>
      <c r="O27" s="30"/>
      <c r="P27" s="30"/>
      <c r="Q27" s="30"/>
    </row>
    <row r="28" spans="1:17" ht="72.599999999999994" thickBot="1" x14ac:dyDescent="0.35">
      <c r="A28" s="3" t="s">
        <v>175</v>
      </c>
      <c r="B28" s="4" t="s">
        <v>183</v>
      </c>
      <c r="C28" s="5" t="s">
        <v>184</v>
      </c>
      <c r="D28" s="6" t="s">
        <v>208</v>
      </c>
      <c r="E28" s="6" t="s">
        <v>186</v>
      </c>
      <c r="F28" s="6" t="s">
        <v>187</v>
      </c>
      <c r="G28" s="7" t="s">
        <v>188</v>
      </c>
      <c r="H28" s="64"/>
      <c r="I28" s="44"/>
      <c r="J28" s="44"/>
      <c r="K28" s="65"/>
      <c r="L28" s="65"/>
      <c r="M28" s="65"/>
      <c r="N28" s="30"/>
      <c r="O28" s="30"/>
      <c r="P28" s="30"/>
      <c r="Q28" s="30"/>
    </row>
    <row r="29" spans="1:17" ht="15" thickBot="1" x14ac:dyDescent="0.35">
      <c r="A29" s="8" t="s">
        <v>189</v>
      </c>
      <c r="B29" s="43" t="s">
        <v>548</v>
      </c>
      <c r="C29" s="78">
        <v>0.5</v>
      </c>
      <c r="D29" s="33" t="s">
        <v>237</v>
      </c>
      <c r="E29" s="33" t="s">
        <v>103</v>
      </c>
      <c r="F29" s="34" t="s">
        <v>225</v>
      </c>
      <c r="G29" s="35"/>
      <c r="H29" s="30"/>
      <c r="I29" s="44" t="s">
        <v>211</v>
      </c>
      <c r="J29" s="45">
        <f>SUMIF(E29:E33,"F",C29:C33)</f>
        <v>1</v>
      </c>
      <c r="K29" s="65"/>
      <c r="L29" s="65"/>
      <c r="M29" s="65"/>
      <c r="N29" s="30"/>
      <c r="O29" s="30"/>
      <c r="P29" s="30"/>
      <c r="Q29" s="30"/>
    </row>
    <row r="30" spans="1:17" ht="15" thickBot="1" x14ac:dyDescent="0.35">
      <c r="A30" s="8" t="s">
        <v>192</v>
      </c>
      <c r="B30" s="17" t="s">
        <v>549</v>
      </c>
      <c r="C30" s="78">
        <v>0.5</v>
      </c>
      <c r="D30" s="33" t="s">
        <v>237</v>
      </c>
      <c r="E30" s="33" t="s">
        <v>103</v>
      </c>
      <c r="F30" s="33" t="s">
        <v>225</v>
      </c>
      <c r="G30" s="35"/>
      <c r="H30" s="30"/>
      <c r="I30" s="44" t="s">
        <v>212</v>
      </c>
      <c r="J30" s="45">
        <f>SUMIF(E29:E33,"NF",C29:C33)</f>
        <v>0</v>
      </c>
      <c r="L30" s="65"/>
      <c r="M30" s="65"/>
    </row>
    <row r="31" spans="1:17" ht="15" thickBot="1" x14ac:dyDescent="0.35">
      <c r="A31" s="8" t="s">
        <v>194</v>
      </c>
      <c r="B31" s="17"/>
      <c r="C31" s="78"/>
      <c r="D31" s="33"/>
      <c r="E31" s="33"/>
      <c r="F31" s="33"/>
      <c r="G31" s="35"/>
      <c r="H31" s="30"/>
      <c r="I31" s="44" t="s">
        <v>213</v>
      </c>
      <c r="J31" s="45">
        <f>SUMIFS(C29:C33,E29:E33,"NF",G29:G33,"OUI")</f>
        <v>0</v>
      </c>
      <c r="L31" s="65"/>
      <c r="M31" s="65"/>
    </row>
    <row r="32" spans="1:17" ht="15" thickBot="1" x14ac:dyDescent="0.35">
      <c r="A32" s="25" t="s">
        <v>198</v>
      </c>
      <c r="B32" s="17"/>
      <c r="C32" s="78"/>
      <c r="D32" s="33"/>
      <c r="E32" s="33"/>
      <c r="F32" s="33"/>
      <c r="G32" s="35"/>
      <c r="H32" s="30"/>
      <c r="I32" s="44" t="s">
        <v>214</v>
      </c>
      <c r="J32" s="45">
        <f>SUMIFS(C29:C33,E29:E33,"F",F29:F33,"oui")</f>
        <v>1</v>
      </c>
      <c r="L32" s="65"/>
      <c r="M32" s="65"/>
    </row>
    <row r="33" spans="1:13" ht="15" thickBot="1" x14ac:dyDescent="0.35">
      <c r="A33" s="25" t="s">
        <v>200</v>
      </c>
      <c r="B33" s="26"/>
      <c r="C33" s="91"/>
      <c r="D33" s="38"/>
      <c r="E33" s="38"/>
      <c r="F33" s="38"/>
      <c r="G33" s="39"/>
      <c r="H33" s="65"/>
      <c r="I33" s="44" t="s">
        <v>239</v>
      </c>
      <c r="J33" s="70">
        <f>SUMIFS(C29:C33,D29:D33,"CT",E29:E33,"F")/J29</f>
        <v>0</v>
      </c>
      <c r="L33" s="65"/>
      <c r="M33" s="65"/>
    </row>
    <row r="34" spans="1:13" ht="15" thickBot="1" x14ac:dyDescent="0.35">
      <c r="A34" s="25" t="s">
        <v>202</v>
      </c>
      <c r="B34" s="38"/>
      <c r="C34" s="67"/>
      <c r="D34" s="38"/>
      <c r="E34" s="38"/>
      <c r="F34" s="38"/>
      <c r="G34" s="39"/>
      <c r="H34" s="65"/>
      <c r="I34" s="44" t="s">
        <v>240</v>
      </c>
      <c r="J34" s="45">
        <f>1-J33</f>
        <v>1</v>
      </c>
    </row>
    <row r="35" spans="1:13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3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8F059BF89DB42B98737878913FF1E" ma:contentTypeVersion="12" ma:contentTypeDescription="Crée un document." ma:contentTypeScope="" ma:versionID="0a19345084a9e5f4fb29e954e1949599">
  <xsd:schema xmlns:xsd="http://www.w3.org/2001/XMLSchema" xmlns:xs="http://www.w3.org/2001/XMLSchema" xmlns:p="http://schemas.microsoft.com/office/2006/metadata/properties" xmlns:ns3="24110c3d-2525-434a-af9f-8aa81766af0d" targetNamespace="http://schemas.microsoft.com/office/2006/metadata/properties" ma:root="true" ma:fieldsID="84a4a0c7d2a6809304c6905c8ecc058c" ns3:_="">
    <xsd:import namespace="24110c3d-2525-434a-af9f-8aa81766af0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0c3d-2525-434a-af9f-8aa81766af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8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D413DC-DBFB-4CE6-85CA-9624E2951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0c3d-2525-434a-af9f-8aa81766af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0AC86B-11C2-4A8F-A76F-630D5AD5F232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24110c3d-2525-434a-af9f-8aa81766af0d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B6EEB9-1035-440D-8909-288712968F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43</vt:i4>
      </vt:variant>
    </vt:vector>
  </HeadingPairs>
  <TitlesOfParts>
    <vt:vector size="43" baseType="lpstr">
      <vt:lpstr>Données_complètes2019(BASIC)</vt:lpstr>
      <vt:lpstr>Données_complètes2022(Oxfam)</vt:lpstr>
      <vt:lpstr>Données_struture_rému2022</vt:lpstr>
      <vt:lpstr>Air Liquide2022</vt:lpstr>
      <vt:lpstr>Airbus2022</vt:lpstr>
      <vt:lpstr>Alstom2022</vt:lpstr>
      <vt:lpstr>Arcelor Mittal2022</vt:lpstr>
      <vt:lpstr>Axa2022</vt:lpstr>
      <vt:lpstr>BNP Paribas2022</vt:lpstr>
      <vt:lpstr>Bouygues2022</vt:lpstr>
      <vt:lpstr>Capgemini2022</vt:lpstr>
      <vt:lpstr>Carrefour2022</vt:lpstr>
      <vt:lpstr>Crédit Agricole2022</vt:lpstr>
      <vt:lpstr>Danone2022</vt:lpstr>
      <vt:lpstr>Dassault Systèmes2022</vt:lpstr>
      <vt:lpstr>ENGIE2022</vt:lpstr>
      <vt:lpstr>EssilorLuxottica2022</vt:lpstr>
      <vt:lpstr>Eurofins Scientific2022</vt:lpstr>
      <vt:lpstr>Hermes2022</vt:lpstr>
      <vt:lpstr>Kering2022</vt:lpstr>
      <vt:lpstr>Legrand2022</vt:lpstr>
      <vt:lpstr>L'Oréal2022</vt:lpstr>
      <vt:lpstr>LVMH2022</vt:lpstr>
      <vt:lpstr>Michelin2022</vt:lpstr>
      <vt:lpstr>Orange2022</vt:lpstr>
      <vt:lpstr>Pernod Ricard2022</vt:lpstr>
      <vt:lpstr>Publicis2022</vt:lpstr>
      <vt:lpstr>Renault2022</vt:lpstr>
      <vt:lpstr>Safran2022</vt:lpstr>
      <vt:lpstr>Saint Gobain2022</vt:lpstr>
      <vt:lpstr>Sanofi2022</vt:lpstr>
      <vt:lpstr>Schneider Electric2022</vt:lpstr>
      <vt:lpstr>Société Générale2022</vt:lpstr>
      <vt:lpstr>Stellantis2022</vt:lpstr>
      <vt:lpstr>STMicroelectronics2022</vt:lpstr>
      <vt:lpstr>Teleperformance2022</vt:lpstr>
      <vt:lpstr>Thales2022</vt:lpstr>
      <vt:lpstr>TotalEnergies2022</vt:lpstr>
      <vt:lpstr>Unibail-Rodamco-Westfield2022</vt:lpstr>
      <vt:lpstr>Veolia2022</vt:lpstr>
      <vt:lpstr>Vinci2022</vt:lpstr>
      <vt:lpstr>Vivendi2022</vt:lpstr>
      <vt:lpstr>Worldline2022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Guerin</dc:creator>
  <cp:lastModifiedBy>Lea Guerin</cp:lastModifiedBy>
  <cp:lastPrinted>2024-04-29T18:04:48Z</cp:lastPrinted>
  <dcterms:created xsi:type="dcterms:W3CDTF">2024-01-19T16:00:36Z</dcterms:created>
  <dcterms:modified xsi:type="dcterms:W3CDTF">2024-04-29T20:15:02Z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0x010100EF48F059BF89DB42B98737878913FF1E</vt:lpwstr>
  </property>
</Properties>
</file>